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6060" tabRatio="957" activeTab="5"/>
  </bookViews>
  <sheets>
    <sheet name="Strategy_main_budget" sheetId="1" r:id="rId1"/>
    <sheet name="Operational_budget_2013" sheetId="2" r:id="rId2"/>
    <sheet name="Staff_and_Office_2013" sheetId="8" r:id="rId3"/>
    <sheet name="Staff 2013" sheetId="12" r:id="rId4"/>
    <sheet name="Use_of_Unrestricted" sheetId="23" r:id="rId5"/>
    <sheet name="Component_1" sheetId="15" r:id="rId6"/>
    <sheet name="Component_2" sheetId="16" r:id="rId7"/>
    <sheet name="Component_3" sheetId="17" r:id="rId8"/>
    <sheet name="Component_4_NY" sheetId="24" r:id="rId9"/>
    <sheet name="A_Membership" sheetId="18" r:id="rId10"/>
    <sheet name="B_Network" sheetId="19" r:id="rId11"/>
    <sheet name="C_Knowledge" sheetId="20" r:id="rId12"/>
    <sheet name="D_Organisation" sheetId="21" r:id="rId13"/>
    <sheet name="Administrative share 2013" sheetId="14" r:id="rId14"/>
    <sheet name="Staff 2013 (2)" sheetId="22" r:id="rId1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2" i="15" l="1"/>
  <c r="E78" i="24"/>
  <c r="E14" i="24"/>
  <c r="E17" i="24"/>
  <c r="E29" i="24"/>
  <c r="E43" i="24"/>
  <c r="E68" i="24"/>
  <c r="E74" i="24"/>
  <c r="E76" i="24"/>
  <c r="E77" i="24"/>
  <c r="F47" i="24"/>
  <c r="F33" i="24"/>
  <c r="F21" i="24"/>
  <c r="F5" i="24"/>
  <c r="C42" i="21"/>
  <c r="E13" i="16"/>
  <c r="C24" i="2"/>
  <c r="B24" i="2"/>
  <c r="D33" i="17"/>
  <c r="D38" i="17"/>
  <c r="D105" i="17"/>
  <c r="D118" i="17"/>
  <c r="D129" i="17"/>
  <c r="D138" i="17"/>
  <c r="D72" i="17"/>
  <c r="D73" i="17"/>
  <c r="D74" i="17"/>
  <c r="D75" i="17"/>
  <c r="D77" i="17"/>
  <c r="D79" i="17"/>
  <c r="D80" i="17"/>
  <c r="D81" i="17"/>
  <c r="D83" i="17"/>
  <c r="D84" i="17"/>
  <c r="D85" i="17"/>
  <c r="D87" i="17"/>
  <c r="D88" i="17"/>
  <c r="D92" i="17"/>
  <c r="D94" i="17"/>
  <c r="D95" i="17"/>
  <c r="D96" i="17"/>
  <c r="D97" i="17"/>
  <c r="D98" i="17"/>
  <c r="D99" i="17"/>
  <c r="D100" i="17"/>
  <c r="D101" i="17"/>
  <c r="D102" i="17"/>
  <c r="D41" i="17"/>
  <c r="D42" i="17"/>
  <c r="D43" i="17"/>
  <c r="D44" i="17"/>
  <c r="D46" i="17"/>
  <c r="D47" i="17"/>
  <c r="D48" i="17"/>
  <c r="D49" i="17"/>
  <c r="D50" i="17"/>
  <c r="D51" i="17"/>
  <c r="D52" i="17"/>
  <c r="D54" i="17"/>
  <c r="D55" i="17"/>
  <c r="D59" i="17"/>
  <c r="D61" i="17"/>
  <c r="D62" i="17"/>
  <c r="D63" i="17"/>
  <c r="D64" i="17"/>
  <c r="D65" i="17"/>
  <c r="D66" i="17"/>
  <c r="D67" i="17"/>
  <c r="D68" i="17"/>
  <c r="D69" i="17"/>
  <c r="D140" i="17"/>
  <c r="C69" i="2"/>
  <c r="B69" i="2"/>
  <c r="C25" i="21"/>
  <c r="C41" i="23"/>
  <c r="A41" i="23"/>
  <c r="B6" i="23"/>
  <c r="B4" i="23"/>
  <c r="B5" i="23"/>
  <c r="B7" i="23"/>
  <c r="B8" i="23"/>
  <c r="B9" i="23"/>
  <c r="B10" i="23"/>
  <c r="B11" i="23"/>
  <c r="B17" i="23"/>
  <c r="D32" i="14"/>
  <c r="C9" i="14"/>
  <c r="C19" i="14"/>
  <c r="C18" i="14"/>
  <c r="C17" i="14"/>
  <c r="C16" i="14"/>
  <c r="C15" i="14"/>
  <c r="Q33" i="17"/>
  <c r="C36" i="2"/>
  <c r="C25" i="23"/>
  <c r="C26" i="23"/>
  <c r="C28" i="23"/>
  <c r="C32" i="23"/>
  <c r="C33" i="23"/>
  <c r="C37" i="23"/>
  <c r="C38" i="23"/>
  <c r="C39" i="23"/>
  <c r="C40" i="23"/>
  <c r="C43" i="23"/>
  <c r="C44" i="23"/>
  <c r="C45" i="23"/>
  <c r="C46" i="23"/>
  <c r="C48" i="23"/>
  <c r="B48" i="23"/>
  <c r="B49" i="23"/>
  <c r="C40" i="21"/>
  <c r="C83" i="2"/>
  <c r="C33" i="19"/>
  <c r="C79" i="2"/>
  <c r="C34" i="18"/>
  <c r="C37" i="18"/>
  <c r="C77" i="2"/>
  <c r="C81" i="2"/>
  <c r="C85" i="2"/>
  <c r="C13" i="2"/>
  <c r="B13" i="2"/>
  <c r="C25" i="18"/>
  <c r="B57" i="23"/>
  <c r="A40" i="23"/>
  <c r="A39" i="23"/>
  <c r="A38" i="23"/>
  <c r="A37" i="23"/>
  <c r="A33" i="23"/>
  <c r="A32" i="23"/>
  <c r="A28" i="23"/>
  <c r="A26" i="23"/>
  <c r="A25" i="23"/>
  <c r="E45" i="15"/>
  <c r="C25" i="19"/>
  <c r="C25" i="20"/>
  <c r="B47" i="2"/>
  <c r="E49" i="15"/>
  <c r="C45" i="2"/>
  <c r="B45" i="2"/>
  <c r="E38" i="15"/>
  <c r="E39" i="15"/>
  <c r="E41" i="15"/>
  <c r="E42" i="15"/>
  <c r="C43" i="2"/>
  <c r="B43" i="2"/>
  <c r="E57" i="15"/>
  <c r="E59" i="15"/>
  <c r="C10" i="2"/>
  <c r="B10" i="2"/>
  <c r="C8" i="2"/>
  <c r="B8" i="2"/>
  <c r="C22" i="2"/>
  <c r="B22" i="2"/>
  <c r="C20" i="2"/>
  <c r="B20" i="2"/>
  <c r="C18" i="2"/>
  <c r="B18" i="2"/>
  <c r="D8" i="17"/>
  <c r="C16" i="2"/>
  <c r="B16" i="2"/>
  <c r="B55" i="2"/>
  <c r="E24" i="16"/>
  <c r="E28" i="16"/>
  <c r="C53" i="2"/>
  <c r="B53" i="2"/>
  <c r="B67" i="2"/>
  <c r="C65" i="2"/>
  <c r="B65" i="2"/>
  <c r="B61" i="2"/>
  <c r="C35" i="20"/>
  <c r="C32" i="21"/>
  <c r="E31" i="16"/>
  <c r="B62" i="8"/>
  <c r="D20" i="17"/>
  <c r="D26" i="17"/>
  <c r="D28" i="17"/>
  <c r="D142" i="17"/>
  <c r="E11" i="15"/>
  <c r="E19" i="15"/>
  <c r="E21" i="15"/>
  <c r="C7" i="22"/>
  <c r="C8" i="22"/>
  <c r="C9" i="22"/>
  <c r="C10" i="22"/>
  <c r="C11" i="22"/>
  <c r="C17" i="22"/>
  <c r="C24" i="22"/>
  <c r="C26" i="22"/>
  <c r="C27" i="22"/>
  <c r="C28" i="22"/>
  <c r="C29" i="22"/>
  <c r="C30" i="22"/>
  <c r="C33" i="22"/>
  <c r="C35" i="22"/>
  <c r="C37" i="22"/>
  <c r="C40" i="22"/>
  <c r="C44" i="22"/>
  <c r="C45" i="22"/>
  <c r="C46" i="22"/>
  <c r="C47" i="22"/>
  <c r="C48" i="22"/>
  <c r="C51" i="22"/>
  <c r="C52" i="22"/>
  <c r="C53" i="22"/>
  <c r="C55" i="22"/>
  <c r="C57" i="22"/>
  <c r="C59" i="22"/>
  <c r="C67" i="22"/>
  <c r="E36" i="16"/>
  <c r="E38" i="16"/>
  <c r="C16" i="21"/>
  <c r="C9" i="21"/>
  <c r="C18" i="21"/>
  <c r="C44" i="21"/>
  <c r="C16" i="20"/>
  <c r="C18" i="20"/>
  <c r="C37" i="20"/>
  <c r="C9" i="18"/>
  <c r="C16" i="18"/>
  <c r="C18" i="18"/>
  <c r="C39" i="18"/>
  <c r="C16" i="19"/>
  <c r="C9" i="19"/>
  <c r="C18" i="19"/>
  <c r="C35" i="19"/>
  <c r="C9" i="20"/>
  <c r="C49" i="2"/>
  <c r="C57" i="2"/>
  <c r="C71" i="2"/>
  <c r="C73" i="2"/>
  <c r="C87" i="2"/>
  <c r="C67" i="2"/>
  <c r="E15" i="16"/>
  <c r="E9" i="16"/>
  <c r="E17" i="16"/>
  <c r="E41" i="16"/>
  <c r="C63" i="2"/>
  <c r="C61" i="2"/>
  <c r="C55" i="2"/>
  <c r="C47" i="2"/>
  <c r="E62" i="15"/>
  <c r="Q12" i="17"/>
  <c r="Q38" i="17"/>
  <c r="Q37" i="17"/>
  <c r="Q36" i="17"/>
  <c r="Q35" i="17"/>
  <c r="Q34" i="17"/>
  <c r="Q69" i="17"/>
  <c r="Q68" i="17"/>
  <c r="Q67" i="17"/>
  <c r="Q66" i="17"/>
  <c r="Q65" i="17"/>
  <c r="Q64" i="17"/>
  <c r="Q63" i="17"/>
  <c r="Q62" i="17"/>
  <c r="Q61" i="17"/>
  <c r="Q60" i="17"/>
  <c r="Q59" i="17"/>
  <c r="Q58" i="17"/>
  <c r="Q57" i="17"/>
  <c r="Q56" i="17"/>
  <c r="Q55" i="17"/>
  <c r="Q54" i="17"/>
  <c r="Q52" i="17"/>
  <c r="Q51" i="17"/>
  <c r="Q50" i="17"/>
  <c r="Q49" i="17"/>
  <c r="Q48" i="17"/>
  <c r="Q47" i="17"/>
  <c r="Q46" i="17"/>
  <c r="Q45" i="17"/>
  <c r="Q44" i="17"/>
  <c r="Q43" i="17"/>
  <c r="Q42" i="17"/>
  <c r="Q41" i="17"/>
  <c r="Q16" i="17"/>
  <c r="Q8" i="17"/>
  <c r="D36" i="14"/>
  <c r="C8" i="8"/>
  <c r="C9" i="8"/>
  <c r="C10" i="8"/>
  <c r="C11" i="8"/>
  <c r="C12" i="8"/>
  <c r="D13" i="8"/>
  <c r="C17" i="8"/>
  <c r="D22" i="8"/>
  <c r="D27" i="8"/>
  <c r="D34" i="8"/>
  <c r="D53" i="8"/>
  <c r="C67" i="12"/>
  <c r="C59" i="12"/>
  <c r="C57" i="12"/>
  <c r="C47" i="12"/>
  <c r="C46" i="12"/>
  <c r="C17" i="12"/>
  <c r="C10" i="12"/>
  <c r="C26" i="2"/>
  <c r="C38" i="2"/>
  <c r="C89" i="2"/>
  <c r="Q17" i="8"/>
  <c r="B7" i="1"/>
  <c r="B9" i="1"/>
  <c r="F53" i="8"/>
  <c r="Q20" i="8"/>
  <c r="Q18" i="8"/>
  <c r="Q9" i="8"/>
  <c r="C24" i="12"/>
  <c r="C7" i="12"/>
  <c r="C8" i="12"/>
  <c r="C9" i="12"/>
  <c r="C11" i="12"/>
  <c r="Q8" i="8"/>
  <c r="R8" i="8"/>
  <c r="Q46" i="8"/>
  <c r="Q27" i="8"/>
  <c r="Q26" i="8"/>
  <c r="Q25" i="8"/>
  <c r="Q22" i="8"/>
  <c r="Q19" i="8"/>
  <c r="Q21" i="8"/>
  <c r="Q13" i="8"/>
  <c r="Q10" i="8"/>
  <c r="Q11" i="8"/>
  <c r="C27" i="12"/>
  <c r="C26" i="12"/>
  <c r="C28" i="12"/>
  <c r="C29" i="12"/>
  <c r="C44" i="12"/>
  <c r="C45" i="12"/>
  <c r="C48" i="12"/>
  <c r="C52" i="12"/>
  <c r="C51" i="12"/>
  <c r="C53" i="12"/>
  <c r="C55" i="12"/>
  <c r="C33" i="12"/>
  <c r="C35" i="12"/>
  <c r="E53" i="8"/>
  <c r="Q53" i="8"/>
  <c r="R53" i="8"/>
  <c r="R25" i="8"/>
  <c r="R21" i="8"/>
  <c r="R18" i="8"/>
  <c r="R19" i="8"/>
  <c r="R20" i="8"/>
  <c r="R17" i="8"/>
  <c r="R26" i="8"/>
  <c r="R11" i="8"/>
  <c r="R46" i="8"/>
  <c r="R27" i="8"/>
  <c r="R22" i="8"/>
  <c r="R13" i="8"/>
  <c r="R9" i="8"/>
  <c r="R10" i="8"/>
  <c r="D11" i="14"/>
  <c r="D20" i="14"/>
  <c r="D25" i="14"/>
  <c r="D34" i="14"/>
  <c r="D39" i="14"/>
  <c r="C40" i="12"/>
  <c r="C30" i="12"/>
  <c r="C37" i="12"/>
  <c r="D9" i="1"/>
  <c r="D33" i="1"/>
  <c r="D35" i="1"/>
  <c r="C9" i="1"/>
  <c r="C33" i="1"/>
  <c r="C35" i="1"/>
  <c r="B17" i="1"/>
  <c r="B15" i="1"/>
  <c r="B16" i="1"/>
  <c r="B20" i="1"/>
  <c r="B22" i="1"/>
  <c r="B24" i="1"/>
  <c r="B26" i="1"/>
  <c r="B33" i="1"/>
  <c r="B35" i="1"/>
</calcChain>
</file>

<file path=xl/comments1.xml><?xml version="1.0" encoding="utf-8"?>
<comments xmlns="http://schemas.openxmlformats.org/spreadsheetml/2006/main">
  <authors>
    <author>Harumi Kobayashi</author>
  </authors>
  <commentList>
    <comment ref="C18" authorId="0">
      <text>
        <r>
          <rPr>
            <b/>
            <sz val="9"/>
            <color indexed="81"/>
            <rFont val="Calibri"/>
            <family val="2"/>
          </rPr>
          <t>Harumi Kobayashi:</t>
        </r>
        <r>
          <rPr>
            <sz val="9"/>
            <color indexed="81"/>
            <rFont val="Calibri"/>
            <family val="2"/>
          </rPr>
          <t xml:space="preserve">
15035000/2
</t>
        </r>
      </text>
    </comment>
  </commentList>
</comments>
</file>

<file path=xl/comments2.xml><?xml version="1.0" encoding="utf-8"?>
<comments xmlns="http://schemas.openxmlformats.org/spreadsheetml/2006/main">
  <authors>
    <author>Håkan Henning</author>
  </authors>
  <commentList>
    <comment ref="AA51" authorId="0">
      <text>
        <r>
          <rPr>
            <b/>
            <sz val="9"/>
            <color indexed="81"/>
            <rFont val="Calibri"/>
            <family val="2"/>
          </rPr>
          <t>Håkan Henning: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Håkan Henning</author>
  </authors>
  <commentList>
    <comment ref="E38" authorId="0">
      <text>
        <r>
          <rPr>
            <b/>
            <sz val="9"/>
            <color indexed="81"/>
            <rFont val="Calibri"/>
            <family val="2"/>
          </rPr>
          <t>Håkan Henning:</t>
        </r>
        <r>
          <rPr>
            <sz val="9"/>
            <color indexed="81"/>
            <rFont val="Calibri"/>
            <family val="2"/>
          </rPr>
          <t xml:space="preserve">
Endast kostnader för Rhodri inns täckning för
</t>
        </r>
      </text>
    </comment>
  </commentList>
</comments>
</file>

<file path=xl/comments4.xml><?xml version="1.0" encoding="utf-8"?>
<comments xmlns="http://schemas.openxmlformats.org/spreadsheetml/2006/main">
  <authors>
    <author>Harumi Kobayashi</author>
    <author>Håkan Henning</author>
  </authors>
  <commentList>
    <comment ref="D8" authorId="0">
      <text>
        <r>
          <rPr>
            <b/>
            <sz val="9"/>
            <color indexed="81"/>
            <rFont val="Calibri"/>
            <family val="2"/>
          </rPr>
          <t>Harumi Kobayashi:</t>
        </r>
        <r>
          <rPr>
            <sz val="9"/>
            <color indexed="81"/>
            <rFont val="Calibri"/>
            <family val="2"/>
          </rPr>
          <t xml:space="preserve">
15035000/2
</t>
        </r>
      </text>
    </comment>
    <comment ref="D105" authorId="1">
      <text>
        <r>
          <rPr>
            <b/>
            <sz val="9"/>
            <color indexed="81"/>
            <rFont val="Calibri"/>
            <family val="2"/>
          </rPr>
          <t>Håkan Henning:</t>
        </r>
        <r>
          <rPr>
            <sz val="9"/>
            <color indexed="81"/>
            <rFont val="Calibri"/>
            <family val="2"/>
          </rPr>
          <t xml:space="preserve">
Rhodri 80% 10 mån
Resten övr personal
Staff and office 159200, 200 manhours
</t>
        </r>
      </text>
    </comment>
  </commentList>
</comments>
</file>

<file path=xl/comments5.xml><?xml version="1.0" encoding="utf-8"?>
<comments xmlns="http://schemas.openxmlformats.org/spreadsheetml/2006/main">
  <authors>
    <author>Håkan Henning</author>
  </authors>
  <commentList>
    <comment ref="C34" authorId="0">
      <text>
        <r>
          <rPr>
            <b/>
            <sz val="9"/>
            <color indexed="81"/>
            <rFont val="Calibri"/>
            <family val="2"/>
          </rPr>
          <t>Håkan Henning:</t>
        </r>
        <r>
          <rPr>
            <sz val="9"/>
            <color indexed="81"/>
            <rFont val="Calibri"/>
            <family val="2"/>
          </rPr>
          <t xml:space="preserve">
75000 Kontor Gbg</t>
        </r>
      </text>
    </comment>
  </commentList>
</comments>
</file>

<file path=xl/comments6.xml><?xml version="1.0" encoding="utf-8"?>
<comments xmlns="http://schemas.openxmlformats.org/spreadsheetml/2006/main">
  <authors>
    <author>Håkan Henning</author>
  </authors>
  <commentList>
    <comment ref="Q37" authorId="0">
      <text>
        <r>
          <rPr>
            <b/>
            <sz val="9"/>
            <color indexed="81"/>
            <rFont val="Calibri"/>
            <family val="2"/>
          </rPr>
          <t>Håkan Henning: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<sst xmlns="http://schemas.openxmlformats.org/spreadsheetml/2006/main" count="928" uniqueCount="393">
  <si>
    <t>ILAC Strategy 2012-2014 Budget</t>
  </si>
  <si>
    <t>INCOME</t>
  </si>
  <si>
    <t>Restricted</t>
  </si>
  <si>
    <t>Unrestricted</t>
  </si>
  <si>
    <t>Total Income</t>
  </si>
  <si>
    <t>COSTS</t>
  </si>
  <si>
    <t>2012
Budget (SEK)</t>
  </si>
  <si>
    <t>2014
Budget (SEK)</t>
  </si>
  <si>
    <t>Total Costs</t>
  </si>
  <si>
    <t>2013
Budget (SEK)</t>
  </si>
  <si>
    <t>Expected</t>
  </si>
  <si>
    <t>Membership fee</t>
  </si>
  <si>
    <t>AGM</t>
  </si>
  <si>
    <t>TOTAL COSTS</t>
  </si>
  <si>
    <t>TOTAL INCOME</t>
  </si>
  <si>
    <t>BALANCE</t>
  </si>
  <si>
    <t>Total Income Restricted</t>
  </si>
  <si>
    <t>Total Income Unrestricted</t>
  </si>
  <si>
    <t>B: Forsteriing our Networks</t>
  </si>
  <si>
    <t>C: Managing our Knowledge</t>
  </si>
  <si>
    <t>D: Sharpening our Organsation</t>
  </si>
  <si>
    <t>A: Developing the Membership</t>
  </si>
  <si>
    <t>Budget</t>
  </si>
  <si>
    <t xml:space="preserve">Outcome </t>
  </si>
  <si>
    <t>Remarks</t>
  </si>
  <si>
    <t>salaries and fees</t>
  </si>
  <si>
    <t>pension,insurance benefits</t>
  </si>
  <si>
    <t>total</t>
  </si>
  <si>
    <t>rent</t>
  </si>
  <si>
    <t>office equipment/supplies</t>
  </si>
  <si>
    <t>computer service</t>
  </si>
  <si>
    <t>phone/internet</t>
  </si>
  <si>
    <t>freight/postal service</t>
  </si>
  <si>
    <t>AUDIT /ACCOUNTING</t>
  </si>
  <si>
    <t>audit</t>
  </si>
  <si>
    <t>accounting</t>
  </si>
  <si>
    <t>COUNCIL/ EXCOM</t>
  </si>
  <si>
    <t>communication</t>
  </si>
  <si>
    <t>travel/conference costs</t>
  </si>
  <si>
    <t>board fee</t>
  </si>
  <si>
    <t>MISCELLANEOUS</t>
  </si>
  <si>
    <t>SUBTOTAL</t>
  </si>
  <si>
    <t>anmärkningar</t>
  </si>
  <si>
    <t xml:space="preserve">BUDGET </t>
  </si>
  <si>
    <t>Lön inkl semesterersättning</t>
  </si>
  <si>
    <t>CÅ</t>
  </si>
  <si>
    <t>AJ</t>
  </si>
  <si>
    <t>totalt</t>
  </si>
  <si>
    <t>Ev. löneförhöjning</t>
  </si>
  <si>
    <t>Konsultarvode</t>
  </si>
  <si>
    <t>Pensionsförmåner</t>
  </si>
  <si>
    <t>Sjuk-och hälsovård</t>
  </si>
  <si>
    <t>Övr.personalkostnader</t>
  </si>
  <si>
    <t>Sociala avgifter</t>
  </si>
  <si>
    <t>Särskild löneskatt</t>
  </si>
  <si>
    <t>extra Fskatt</t>
  </si>
  <si>
    <t>Totala lönekostnader</t>
  </si>
  <si>
    <t>avrundat</t>
  </si>
  <si>
    <t>HH</t>
  </si>
  <si>
    <t>Semers.</t>
  </si>
  <si>
    <t>Pensionsförm.</t>
  </si>
  <si>
    <t>Mån.</t>
  </si>
  <si>
    <t>COMPONENT 1</t>
  </si>
  <si>
    <t>COMPONENT 2</t>
  </si>
  <si>
    <t>Total costs Component 1</t>
  </si>
  <si>
    <t>Total costs Component 2</t>
  </si>
  <si>
    <t>COMPONENT 3</t>
  </si>
  <si>
    <t>MEETING THE NEEDS</t>
  </si>
  <si>
    <t>REVIEWING ONGOING NEEDS</t>
  </si>
  <si>
    <t>ASSESSING THE NEEDS</t>
  </si>
  <si>
    <t>COMPONENT 3: 
Meeting the needs</t>
  </si>
  <si>
    <t>COMPONENTS 1-3</t>
  </si>
  <si>
    <t>ORGANSATION DEVELOPMENT</t>
  </si>
  <si>
    <t>COMPONENT 1: 
Assessing the needs</t>
  </si>
  <si>
    <t>COMPONENT 2: 
Reviewing ongoing needs</t>
  </si>
  <si>
    <t>Total costs Component 3</t>
  </si>
  <si>
    <t>A. Developing the membership</t>
  </si>
  <si>
    <t>B. Fostering the network</t>
  </si>
  <si>
    <t>C. Managing the knowledge</t>
  </si>
  <si>
    <t>D. Sharpening the organisation</t>
  </si>
  <si>
    <t>Total costs D</t>
  </si>
  <si>
    <t>Total costs Organisation development</t>
  </si>
  <si>
    <t>Consultants</t>
  </si>
  <si>
    <t>Communication</t>
  </si>
  <si>
    <t>Travel</t>
  </si>
  <si>
    <t>Meetings</t>
  </si>
  <si>
    <t>TOTAL</t>
  </si>
  <si>
    <t>COSTS COMPONENTS 1-3</t>
  </si>
  <si>
    <t>Sida (Libya)</t>
  </si>
  <si>
    <t>Sociala avg löneförhöjning</t>
  </si>
  <si>
    <t>Löneskatt pensionsökning</t>
  </si>
  <si>
    <t>OFFICE</t>
  </si>
  <si>
    <t>Council and Executive committee</t>
  </si>
  <si>
    <t>Unforseen</t>
  </si>
  <si>
    <t>Omförhandling pensionsförmån</t>
  </si>
  <si>
    <t>Staff costs in adnministrative share</t>
  </si>
  <si>
    <t>Administrative share</t>
  </si>
  <si>
    <t>Health care reimbursement</t>
  </si>
  <si>
    <t>Augusti</t>
  </si>
  <si>
    <t>January</t>
  </si>
  <si>
    <t>April</t>
  </si>
  <si>
    <t>June</t>
  </si>
  <si>
    <t>July</t>
  </si>
  <si>
    <t>May</t>
  </si>
  <si>
    <t>March</t>
  </si>
  <si>
    <t>August</t>
  </si>
  <si>
    <t>September</t>
  </si>
  <si>
    <t>October</t>
  </si>
  <si>
    <t>November</t>
  </si>
  <si>
    <t>December</t>
  </si>
  <si>
    <t>Outcome</t>
  </si>
  <si>
    <t>Sept</t>
  </si>
  <si>
    <t>Okt</t>
  </si>
  <si>
    <t>Nov</t>
  </si>
  <si>
    <t>Dec</t>
  </si>
  <si>
    <t>Judges Participants, Lodging</t>
  </si>
  <si>
    <t xml:space="preserve">   Conference package</t>
  </si>
  <si>
    <t>Judges Participants, Per diem</t>
  </si>
  <si>
    <t>Interpretation</t>
  </si>
  <si>
    <t>Staff, Tunisia</t>
  </si>
  <si>
    <t>Office Rent, Tunisia</t>
  </si>
  <si>
    <t xml:space="preserve">   Furniture, equipment etc, Tunisia</t>
  </si>
  <si>
    <t xml:space="preserve">   Telephone, running costs</t>
  </si>
  <si>
    <t>Planning, Monitoring and Evaluation</t>
  </si>
  <si>
    <t>Information and Communication</t>
  </si>
  <si>
    <t>Accommodation</t>
  </si>
  <si>
    <t>Unforeseen</t>
  </si>
  <si>
    <t>Faculty - IBA-Ceeli Project Implementation</t>
  </si>
  <si>
    <t xml:space="preserve">      01  Travel</t>
  </si>
  <si>
    <t xml:space="preserve">      02  Ground transport</t>
  </si>
  <si>
    <t xml:space="preserve">      03  Accommodation</t>
  </si>
  <si>
    <t xml:space="preserve">      04 Per diem, meals</t>
  </si>
  <si>
    <t xml:space="preserve">      05  Course materials</t>
  </si>
  <si>
    <t xml:space="preserve">      06  Staff  (recruit., select, coordinate, faculty, travel, orient)</t>
  </si>
  <si>
    <t xml:space="preserve">      07  Communication and logistics</t>
  </si>
  <si>
    <t xml:space="preserve">      08  Unforeseen</t>
  </si>
  <si>
    <t xml:space="preserve">      09  Curriculum development, modification, translation</t>
  </si>
  <si>
    <t xml:space="preserve">      10  Course evaluations, site visits, quality control assessments</t>
  </si>
  <si>
    <t xml:space="preserve">Sida    (Core funding 2013)                            </t>
  </si>
  <si>
    <t>ILAC OPERATIONAL BUDGET 2013 DRAFT</t>
  </si>
  <si>
    <t>Staff 2013</t>
  </si>
  <si>
    <t>HK</t>
  </si>
  <si>
    <t>4 årskort a´8 000 kr + Hälsokontrolloch exv terminalglasögon</t>
  </si>
  <si>
    <t>STAFF</t>
  </si>
  <si>
    <t>computer service and IT</t>
  </si>
  <si>
    <t>UNFORSEEN</t>
  </si>
  <si>
    <t>Information matrl</t>
  </si>
  <si>
    <t>Representation</t>
  </si>
  <si>
    <t>Conference</t>
  </si>
  <si>
    <t>Administrative share of 2013 costs</t>
  </si>
  <si>
    <t>Total Cost Budget 2013</t>
  </si>
  <si>
    <t xml:space="preserve">STAFF </t>
  </si>
  <si>
    <t>February</t>
  </si>
  <si>
    <t>%</t>
  </si>
  <si>
    <t>COSTS COMPONENTS 1</t>
  </si>
  <si>
    <t>COSTS COMPONENT 2  REVIEWING ONGOING NEEDS</t>
  </si>
  <si>
    <t>Accomodation</t>
  </si>
  <si>
    <t>Meeting costs</t>
  </si>
  <si>
    <t>Staff, Libya</t>
  </si>
  <si>
    <t>Office Libya</t>
  </si>
  <si>
    <t>MOROCCO Training of Judges</t>
  </si>
  <si>
    <t>Approved</t>
  </si>
  <si>
    <t>Staff and Office</t>
  </si>
  <si>
    <t>LIBYA, Rule of Law Priorities</t>
  </si>
  <si>
    <t>TUNISIA, Training of Tunisian Judges Part 1</t>
  </si>
  <si>
    <t>A. Developing the Membership</t>
  </si>
  <si>
    <t>TOTAL COSTS B</t>
  </si>
  <si>
    <t>TOTAL COSTS A</t>
  </si>
  <si>
    <t>TOTAL COSTS C</t>
  </si>
  <si>
    <t>ICC and the African Court on Human and Peoples’ Rights</t>
  </si>
  <si>
    <t>Travel and accomodation, staff</t>
  </si>
  <si>
    <t>Travel and accomodation, local stakeholders</t>
  </si>
  <si>
    <t>Board fee</t>
  </si>
  <si>
    <t>Travel and Conference costs</t>
  </si>
  <si>
    <t>Print matter</t>
  </si>
  <si>
    <t>Web development</t>
  </si>
  <si>
    <t>Staff and Office 2013</t>
  </si>
  <si>
    <t>Swedish MFA (Morocco)</t>
  </si>
  <si>
    <t>MOROCCO, Capacity Building in the Judiciary</t>
  </si>
  <si>
    <t>Conference costs</t>
  </si>
  <si>
    <t>Sida  (Tunisia Training of Judges 2013 Part 1)</t>
  </si>
  <si>
    <t>TUNISIA, Training of Tunisian Judges Part 2</t>
  </si>
  <si>
    <t>Sida  (Tunisia Training of Judges 2013 Part 2)</t>
  </si>
  <si>
    <t>Total workong hours per year minus vacation</t>
  </si>
  <si>
    <t>4 employees 3,8 full time</t>
  </si>
  <si>
    <t>165 hours per month per person</t>
  </si>
  <si>
    <t>240 hours vacation per person</t>
  </si>
  <si>
    <t>Total 6612 hour per year</t>
  </si>
  <si>
    <t>Cost per hour for Staff and Office:</t>
  </si>
  <si>
    <t>TOTAL COSTS COMPONENT 1-3</t>
  </si>
  <si>
    <t>Sida (Libya Rule of Law Priorities)</t>
  </si>
  <si>
    <t xml:space="preserve">Sida (Core funding 2013) Burma, Rule of Law Priorities      </t>
  </si>
  <si>
    <t xml:space="preserve">        Travel, experts</t>
  </si>
  <si>
    <t xml:space="preserve">        Ground transport</t>
  </si>
  <si>
    <t xml:space="preserve">        Travel, participants</t>
  </si>
  <si>
    <t xml:space="preserve">        Per diem, participants</t>
  </si>
  <si>
    <t xml:space="preserve">        Accommodation</t>
  </si>
  <si>
    <t xml:space="preserve">        Per diem, experts</t>
  </si>
  <si>
    <t xml:space="preserve">        Course materials (Layout, printing, transportation)</t>
  </si>
  <si>
    <t xml:space="preserve">        Communication and logistics (dissemination assessment report)</t>
  </si>
  <si>
    <t xml:space="preserve">        Interpretation</t>
  </si>
  <si>
    <t xml:space="preserve">        Curriculum development, modification, translation</t>
  </si>
  <si>
    <t xml:space="preserve">        Planning, Monitoring and Evaluation</t>
  </si>
  <si>
    <t xml:space="preserve">        Unforeseen and miscellaneous (Insurance, Visa, etc)</t>
  </si>
  <si>
    <t xml:space="preserve">            Staff and consultants</t>
  </si>
  <si>
    <t xml:space="preserve">            Travel</t>
  </si>
  <si>
    <t xml:space="preserve">            Communication and logistics</t>
  </si>
  <si>
    <t>Travel and meetings</t>
  </si>
  <si>
    <t>Sida (ICC and the African Court…)</t>
  </si>
  <si>
    <t>Balance Core funding</t>
  </si>
  <si>
    <t>Core funding 2013</t>
  </si>
  <si>
    <t>From Core funding 2012</t>
  </si>
  <si>
    <t>Staff and Office 200000</t>
  </si>
  <si>
    <t>251 manhours</t>
  </si>
  <si>
    <t>Component 1</t>
  </si>
  <si>
    <t>Component 2</t>
  </si>
  <si>
    <t>Component 3</t>
  </si>
  <si>
    <t>BURMA Rule of Law Priorities</t>
  </si>
  <si>
    <t>EAST TIMOR, reviewing ongoing needs</t>
  </si>
  <si>
    <t>LIBYA Capacity Building 2013 Sida</t>
  </si>
  <si>
    <t>A Membership</t>
  </si>
  <si>
    <t>B Network</t>
  </si>
  <si>
    <t>C Knowledge</t>
  </si>
  <si>
    <t>D Organisation</t>
  </si>
  <si>
    <t>Total Staff Working Hours 2013</t>
  </si>
  <si>
    <t xml:space="preserve">Sida    (Core funding 2012)                            </t>
  </si>
  <si>
    <t>Hours</t>
  </si>
  <si>
    <t>Cost</t>
  </si>
  <si>
    <t>ILAC Staff Working hours (Staff and Office)</t>
  </si>
  <si>
    <t>4 årskort a´8 000 kr + Hälsokontrol loch exv terminalglasögon</t>
  </si>
  <si>
    <t>Social Security Contributions</t>
  </si>
  <si>
    <t>USE OF UNRESTRICTED MEANS 2013</t>
  </si>
  <si>
    <t>Need for Unrestricted Funding usage</t>
  </si>
  <si>
    <t>COSTS ORGANISATION DEVELOPMENT</t>
  </si>
  <si>
    <t>ILAC BUDGET 2013, COMPONENT 1 - ASSESSING THE NEEDS</t>
  </si>
  <si>
    <t>ILAC OPERATIONAL BUDGET 2013, COMPONENT 2 - REVIEWING ONGOING NEEDS</t>
  </si>
  <si>
    <t>ILAC OPERATIONAL BUDGET 2013, COMPONENT 3 - MEETING THE NEEDS</t>
  </si>
  <si>
    <t>ILAC OPERATIONAL BUDGET 2013, A. Developing the Membership</t>
  </si>
  <si>
    <t>B. Fostering the Network</t>
  </si>
  <si>
    <t>ILAC OPERATIONAL BUDGET 2013, B. Fostering the Network</t>
  </si>
  <si>
    <t>C. Managing the Knowledge</t>
  </si>
  <si>
    <t>ILAC OPERATIONAL BUDGET 2013, C. Managing the Knowledge</t>
  </si>
  <si>
    <t>D. Sharpening the Organisation</t>
  </si>
  <si>
    <t>ILAC OPERATIONAL BUDGET 2013, D. Sharpening the Organisation</t>
  </si>
  <si>
    <t>Membership fees</t>
  </si>
  <si>
    <t>1. Initial assessment, Dialogue and Consultation</t>
  </si>
  <si>
    <t>Judges Participants, Travel</t>
  </si>
  <si>
    <t>Travel, staff and experts</t>
  </si>
  <si>
    <t>Per diem, Staff and experts</t>
  </si>
  <si>
    <t>Accommodation, staff and experts</t>
  </si>
  <si>
    <t>Subtotal</t>
  </si>
  <si>
    <t>Women and leadership in the judiciary in the MENA region</t>
  </si>
  <si>
    <t>Swedish MFA ( Gender Justice)</t>
  </si>
  <si>
    <t>Ground Transport</t>
  </si>
  <si>
    <t>Capacity Building Project 1</t>
  </si>
  <si>
    <t>Capacity Building Project 2</t>
  </si>
  <si>
    <t>Capacity BuildingProject 3</t>
  </si>
  <si>
    <t>Per Diem</t>
  </si>
  <si>
    <t>Planning, Monitoring and Evaluation(Staff,office Sw.)</t>
  </si>
  <si>
    <t>5890 -övriga resekostnader</t>
  </si>
  <si>
    <t>6524 -Lokala resor</t>
  </si>
  <si>
    <t>7326 -Traktamente deltagare</t>
  </si>
  <si>
    <t>6550 Konsultarvode</t>
  </si>
  <si>
    <t>7210 -Lön tjänstemän</t>
  </si>
  <si>
    <t>5800 -Resekostnader</t>
  </si>
  <si>
    <t>7210-7220-7410-7510-7610</t>
  </si>
  <si>
    <t>6050 -Konferenskostnader</t>
  </si>
  <si>
    <t>7215 -Ersättning, arvode</t>
  </si>
  <si>
    <t>6201 -Kommunikation</t>
  </si>
  <si>
    <t>6050 Konferenskostnader</t>
  </si>
  <si>
    <t>6970 Information</t>
  </si>
  <si>
    <t>5800 Resekostnader</t>
  </si>
  <si>
    <t>Traktamente</t>
  </si>
  <si>
    <t>Kost och logi</t>
  </si>
  <si>
    <t>Övriga resekostnader</t>
  </si>
  <si>
    <t xml:space="preserve">5800 - Resekostnader  </t>
  </si>
  <si>
    <t>3002-01</t>
  </si>
  <si>
    <t>3002-02</t>
  </si>
  <si>
    <t>3002-03</t>
  </si>
  <si>
    <t>3002-04</t>
  </si>
  <si>
    <t>5832 -Hotellkostnader</t>
  </si>
  <si>
    <t xml:space="preserve"> Conference costs</t>
  </si>
  <si>
    <t>5010 -Hyra</t>
  </si>
  <si>
    <t>6100 -Kontorsmaterial</t>
  </si>
  <si>
    <t>6210 -telefon</t>
  </si>
  <si>
    <t>7210-7220-7410-7510-7610-5010</t>
  </si>
  <si>
    <t>Judges Participants, Accomodation</t>
  </si>
  <si>
    <t>5832-Hotellkostnader</t>
  </si>
  <si>
    <t>7326 -Traktamente</t>
  </si>
  <si>
    <t>3001-01</t>
  </si>
  <si>
    <t>6970 -Information och kommunikation</t>
  </si>
  <si>
    <t xml:space="preserve">7323 -Traktamente </t>
  </si>
  <si>
    <t>6550 -Konsultarvode</t>
  </si>
  <si>
    <t>6550 -konsultarvode</t>
  </si>
  <si>
    <t>6050 -Konferenskostnad</t>
  </si>
  <si>
    <t>6590 -Övriga externa tjänster</t>
  </si>
  <si>
    <t>3003-01</t>
  </si>
  <si>
    <t>3003-02</t>
  </si>
  <si>
    <t>3003-03</t>
  </si>
  <si>
    <t>3003-04</t>
  </si>
  <si>
    <t>3004-01</t>
  </si>
  <si>
    <t>3004-02</t>
  </si>
  <si>
    <t>3004-03</t>
  </si>
  <si>
    <t>3004-04</t>
  </si>
  <si>
    <t>3005-01</t>
  </si>
  <si>
    <t>3005-02</t>
  </si>
  <si>
    <t>5890 -Övriga ofröutsedda kostnader</t>
  </si>
  <si>
    <t>3002-04-01</t>
  </si>
  <si>
    <t>3002-04-02</t>
  </si>
  <si>
    <t>3002-04-03</t>
  </si>
  <si>
    <t>3002-04-04</t>
  </si>
  <si>
    <t>3002-04-05</t>
  </si>
  <si>
    <t>3002-04-06</t>
  </si>
  <si>
    <t>3002-04-07</t>
  </si>
  <si>
    <t>3002-04-08</t>
  </si>
  <si>
    <t>3002-04-09</t>
  </si>
  <si>
    <t>3002-04-10</t>
  </si>
  <si>
    <t>3003-04-01</t>
  </si>
  <si>
    <t>3003-04-02</t>
  </si>
  <si>
    <t>3003-04-03</t>
  </si>
  <si>
    <t>3003-04-04</t>
  </si>
  <si>
    <t>3003-04-05</t>
  </si>
  <si>
    <t>3003-04-06</t>
  </si>
  <si>
    <t>3003-04-07</t>
  </si>
  <si>
    <t>3003-04-08</t>
  </si>
  <si>
    <t>3003-04-09</t>
  </si>
  <si>
    <t>3003-04-10</t>
  </si>
  <si>
    <t>2001-01</t>
  </si>
  <si>
    <t>2002-01</t>
  </si>
  <si>
    <t>Cost Organisation development</t>
  </si>
  <si>
    <t>Objekt 1</t>
  </si>
  <si>
    <t>Objekt 2</t>
  </si>
  <si>
    <t>4001-01</t>
  </si>
  <si>
    <t>4001-02</t>
  </si>
  <si>
    <t>4002-01</t>
  </si>
  <si>
    <t>4003-01</t>
  </si>
  <si>
    <t>4004-01</t>
  </si>
  <si>
    <t>Parking</t>
  </si>
  <si>
    <t>Consumable equipment</t>
  </si>
  <si>
    <t>Konferens</t>
  </si>
  <si>
    <t>Office equipment/supplies</t>
  </si>
  <si>
    <t>Phone/Internet</t>
  </si>
  <si>
    <t>Freigth/postal service</t>
  </si>
  <si>
    <t>Audit fee</t>
  </si>
  <si>
    <t xml:space="preserve">Remuneration Bookeeping </t>
  </si>
  <si>
    <t>Accountancy service</t>
  </si>
  <si>
    <t>Övriga extrena tjänster</t>
  </si>
  <si>
    <t>Newspaper/litetarur</t>
  </si>
  <si>
    <t>Other personell costs</t>
  </si>
  <si>
    <t>Bankfee</t>
  </si>
  <si>
    <t>4004-02</t>
  </si>
  <si>
    <t>Total costs OD</t>
  </si>
  <si>
    <t>Total costs OD Staff &amp; office</t>
  </si>
  <si>
    <t>TOTAL COSTS 4001</t>
  </si>
  <si>
    <t>TOTAL COSTS 4002</t>
  </si>
  <si>
    <t>TOTAL COSTS 4003</t>
  </si>
  <si>
    <t>Total costs 4004</t>
  </si>
  <si>
    <t>6050  Konferenskostnader</t>
  </si>
  <si>
    <t>6970  Information</t>
  </si>
  <si>
    <t>5800  Resekostnader</t>
  </si>
  <si>
    <t>5020  Parkering</t>
  </si>
  <si>
    <t>5400  Förbrukn- Inv.mtrl</t>
  </si>
  <si>
    <t>6071  Representation</t>
  </si>
  <si>
    <t>6100  Kontorsmatrl</t>
  </si>
  <si>
    <t>6200  Dataservice</t>
  </si>
  <si>
    <t>6210  telefon &amp; Internet</t>
  </si>
  <si>
    <t>6250  Porto</t>
  </si>
  <si>
    <t>6430  Arvode bokföring</t>
  </si>
  <si>
    <t>6420  Revisionsarvode</t>
  </si>
  <si>
    <t>6530  Redovisningstjänster</t>
  </si>
  <si>
    <t>6590  Övriga externa tjänster</t>
  </si>
  <si>
    <t>6970  Information mtrl</t>
  </si>
  <si>
    <t>6971  Tidningar / fackitteratur</t>
  </si>
  <si>
    <t>7600  Övriga personalkost</t>
  </si>
  <si>
    <t>8490  Bankkostnader</t>
  </si>
  <si>
    <t>6550  Konsultarvode</t>
  </si>
  <si>
    <t>7230  Styrelsearvode</t>
  </si>
  <si>
    <t>6201  Kommunikation</t>
  </si>
  <si>
    <t>1001-01</t>
  </si>
  <si>
    <t>1001-02</t>
  </si>
  <si>
    <t>1002-01</t>
  </si>
  <si>
    <t>1003-01</t>
  </si>
  <si>
    <t xml:space="preserve">5800 -Resekostostnader </t>
  </si>
  <si>
    <t>5800</t>
  </si>
  <si>
    <t>58001</t>
  </si>
  <si>
    <t>7323 PerDiem</t>
  </si>
  <si>
    <t>2</t>
  </si>
  <si>
    <t>5820 -Lokala resor</t>
  </si>
  <si>
    <t xml:space="preserve">5825 -Resekostostnader </t>
  </si>
  <si>
    <t>6970 -Projekt och kursmaterial</t>
  </si>
  <si>
    <t>6970 -Kommunikation</t>
  </si>
  <si>
    <t xml:space="preserve">6990 -Oförutseeda kostnader </t>
  </si>
  <si>
    <t>6990 -Övriga ofröutsedda 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</si>
</sst>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SEK]"/>
  </numFmts>
  <fonts count="60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</font>
    <font>
      <i/>
      <sz val="11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sz val="8"/>
      <name val="Arial"/>
    </font>
    <font>
      <b/>
      <i/>
      <sz val="10"/>
      <color indexed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8"/>
      <name val="Calibri"/>
      <family val="2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8"/>
      <name val="Calibri"/>
      <family val="2"/>
    </font>
    <font>
      <sz val="12"/>
      <name val="Arial"/>
    </font>
    <font>
      <sz val="11"/>
      <name val="Times"/>
    </font>
    <font>
      <sz val="12"/>
      <name val="Times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</font>
    <font>
      <b/>
      <sz val="14"/>
      <color theme="1"/>
      <name val="Arial"/>
    </font>
    <font>
      <b/>
      <sz val="14"/>
      <color rgb="FF000000"/>
      <name val="Arial"/>
    </font>
    <font>
      <b/>
      <sz val="12"/>
      <color theme="1"/>
      <name val="Arial"/>
    </font>
    <font>
      <sz val="12"/>
      <color rgb="FF000000"/>
      <name val="Arial"/>
    </font>
    <font>
      <sz val="11"/>
      <color theme="1"/>
      <name val="Arial"/>
    </font>
    <font>
      <sz val="12"/>
      <color rgb="FF000000"/>
      <name val="Calibri"/>
      <family val="2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20"/>
      <color theme="1"/>
      <name val="Arial"/>
    </font>
    <font>
      <i/>
      <sz val="12"/>
      <color theme="1"/>
      <name val="Calibri"/>
      <family val="2"/>
      <scheme val="minor"/>
    </font>
    <font>
      <b/>
      <sz val="20"/>
      <color rgb="FF000000"/>
      <name val="Arial"/>
    </font>
    <font>
      <sz val="12"/>
      <name val="Calibri"/>
      <scheme val="minor"/>
    </font>
    <font>
      <b/>
      <sz val="12"/>
      <name val="Calibri"/>
      <scheme val="minor"/>
    </font>
    <font>
      <b/>
      <sz val="11"/>
      <color rgb="FF000000"/>
      <name val="Arial"/>
    </font>
    <font>
      <sz val="12"/>
      <color rgb="FF000000"/>
      <name val="Times"/>
    </font>
    <font>
      <sz val="11"/>
      <color rgb="FF000000"/>
      <name val="Arial"/>
    </font>
    <font>
      <sz val="12"/>
      <color theme="1"/>
      <name val="Times"/>
    </font>
    <font>
      <b/>
      <sz val="12"/>
      <color rgb="FF00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theme="1"/>
      <name val="Arial"/>
    </font>
    <font>
      <b/>
      <sz val="11"/>
      <color theme="1"/>
      <name val="Arial"/>
    </font>
    <font>
      <sz val="8"/>
      <name val="Calibri"/>
      <family val="2"/>
      <scheme val="minor"/>
    </font>
    <font>
      <sz val="11"/>
      <color theme="1"/>
      <name val="MetaPlusMedium"/>
    </font>
    <font>
      <b/>
      <sz val="12"/>
      <color theme="1"/>
      <name val="Times"/>
    </font>
    <font>
      <sz val="12"/>
      <color rgb="FFFF0000"/>
      <name val="Arial"/>
    </font>
    <font>
      <i/>
      <sz val="12"/>
      <color rgb="FFFF0000"/>
      <name val="Arial"/>
    </font>
    <font>
      <sz val="11"/>
      <color rgb="FFFF0000"/>
      <name val="Arial"/>
    </font>
    <font>
      <b/>
      <sz val="11"/>
      <color rgb="FFFF0000"/>
      <name val="Arial"/>
    </font>
    <font>
      <b/>
      <sz val="12"/>
      <color rgb="FFFF0000"/>
      <name val="Arial"/>
    </font>
    <font>
      <sz val="12"/>
      <color theme="1"/>
      <name val="MetaPlusMedium"/>
    </font>
    <font>
      <b/>
      <sz val="16"/>
      <name val="Arial"/>
    </font>
    <font>
      <b/>
      <sz val="16"/>
      <color theme="1"/>
      <name val="Calibri"/>
      <scheme val="minor"/>
    </font>
    <font>
      <sz val="16"/>
      <color theme="1"/>
      <name val="Calibri"/>
      <scheme val="minor"/>
    </font>
    <font>
      <sz val="14"/>
      <color theme="1"/>
      <name val="Calibri"/>
      <family val="2"/>
      <scheme val="minor"/>
    </font>
    <font>
      <sz val="14"/>
      <name val="Times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76">
    <xf numFmtId="0" fontId="0" fillId="0" borderId="0"/>
    <xf numFmtId="9" fontId="2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424">
    <xf numFmtId="0" fontId="0" fillId="0" borderId="0" xfId="0"/>
    <xf numFmtId="0" fontId="23" fillId="0" borderId="0" xfId="0" applyFont="1" applyAlignment="1">
      <alignment vertical="top" wrapText="1"/>
    </xf>
    <xf numFmtId="164" fontId="0" fillId="0" borderId="0" xfId="0" applyNumberFormat="1"/>
    <xf numFmtId="0" fontId="24" fillId="0" borderId="1" xfId="0" applyFont="1" applyBorder="1"/>
    <xf numFmtId="0" fontId="23" fillId="0" borderId="1" xfId="0" applyFont="1" applyBorder="1" applyAlignment="1">
      <alignment vertical="top" wrapText="1"/>
    </xf>
    <xf numFmtId="0" fontId="0" fillId="0" borderId="1" xfId="0" applyBorder="1"/>
    <xf numFmtId="0" fontId="24" fillId="0" borderId="1" xfId="0" applyFont="1" applyBorder="1" applyAlignment="1">
      <alignment wrapText="1"/>
    </xf>
    <xf numFmtId="164" fontId="0" fillId="0" borderId="1" xfId="0" applyNumberFormat="1" applyBorder="1"/>
    <xf numFmtId="0" fontId="25" fillId="0" borderId="1" xfId="0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right"/>
    </xf>
    <xf numFmtId="3" fontId="0" fillId="0" borderId="0" xfId="0" applyNumberFormat="1"/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/>
    <xf numFmtId="0" fontId="0" fillId="0" borderId="0" xfId="0" applyFill="1"/>
    <xf numFmtId="0" fontId="2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/>
    <xf numFmtId="3" fontId="2" fillId="3" borderId="1" xfId="0" applyNumberFormat="1" applyFont="1" applyFill="1" applyBorder="1"/>
    <xf numFmtId="3" fontId="3" fillId="2" borderId="1" xfId="0" applyNumberFormat="1" applyFont="1" applyFill="1" applyBorder="1"/>
    <xf numFmtId="3" fontId="6" fillId="3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/>
    <xf numFmtId="3" fontId="3" fillId="0" borderId="1" xfId="0" applyNumberFormat="1" applyFont="1" applyFill="1" applyBorder="1"/>
    <xf numFmtId="0" fontId="5" fillId="0" borderId="1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vertical="top" wrapText="1"/>
    </xf>
    <xf numFmtId="0" fontId="6" fillId="0" borderId="1" xfId="0" applyFont="1" applyFill="1" applyBorder="1"/>
    <xf numFmtId="0" fontId="23" fillId="0" borderId="1" xfId="0" applyFont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3" fontId="3" fillId="3" borderId="1" xfId="0" applyNumberFormat="1" applyFont="1" applyFill="1" applyBorder="1"/>
    <xf numFmtId="0" fontId="4" fillId="0" borderId="0" xfId="0" applyFont="1"/>
    <xf numFmtId="0" fontId="7" fillId="0" borderId="0" xfId="0" applyFont="1"/>
    <xf numFmtId="3" fontId="4" fillId="0" borderId="0" xfId="0" applyNumberFormat="1" applyFont="1"/>
    <xf numFmtId="0" fontId="7" fillId="0" borderId="0" xfId="0" applyFont="1" applyAlignment="1">
      <alignment horizontal="right"/>
    </xf>
    <xf numFmtId="3" fontId="7" fillId="0" borderId="0" xfId="0" applyNumberFormat="1" applyFont="1"/>
    <xf numFmtId="3" fontId="11" fillId="0" borderId="0" xfId="0" applyNumberFormat="1" applyFont="1"/>
    <xf numFmtId="9" fontId="7" fillId="0" borderId="0" xfId="0" applyNumberFormat="1" applyFont="1"/>
    <xf numFmtId="3" fontId="10" fillId="0" borderId="0" xfId="0" applyNumberFormat="1" applyFont="1"/>
    <xf numFmtId="9" fontId="4" fillId="0" borderId="0" xfId="0" applyNumberFormat="1" applyFont="1"/>
    <xf numFmtId="0" fontId="27" fillId="0" borderId="3" xfId="0" applyFont="1" applyBorder="1" applyAlignment="1">
      <alignment horizontal="left" vertical="top" wrapText="1"/>
    </xf>
    <xf numFmtId="0" fontId="2" fillId="6" borderId="3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left" vertical="top" wrapText="1"/>
    </xf>
    <xf numFmtId="0" fontId="3" fillId="7" borderId="1" xfId="0" applyFont="1" applyFill="1" applyBorder="1"/>
    <xf numFmtId="0" fontId="12" fillId="2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0" fillId="3" borderId="1" xfId="0" applyFill="1" applyBorder="1"/>
    <xf numFmtId="3" fontId="0" fillId="0" borderId="1" xfId="0" applyNumberFormat="1" applyBorder="1"/>
    <xf numFmtId="0" fontId="24" fillId="0" borderId="1" xfId="0" applyFont="1" applyBorder="1" applyAlignment="1">
      <alignment vertical="top" wrapText="1"/>
    </xf>
    <xf numFmtId="3" fontId="2" fillId="0" borderId="1" xfId="0" applyNumberFormat="1" applyFont="1" applyFill="1" applyBorder="1" applyAlignment="1">
      <alignment horizontal="center"/>
    </xf>
    <xf numFmtId="3" fontId="28" fillId="0" borderId="1" xfId="0" applyNumberFormat="1" applyFont="1" applyBorder="1"/>
    <xf numFmtId="0" fontId="2" fillId="0" borderId="1" xfId="0" applyFont="1" applyBorder="1"/>
    <xf numFmtId="0" fontId="29" fillId="0" borderId="1" xfId="0" applyFont="1" applyBorder="1"/>
    <xf numFmtId="0" fontId="2" fillId="0" borderId="1" xfId="0" applyFont="1" applyBorder="1" applyAlignment="1">
      <alignment wrapText="1"/>
    </xf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3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9" fontId="8" fillId="0" borderId="1" xfId="1" applyFont="1" applyBorder="1" applyAlignment="1">
      <alignment horizontal="right"/>
    </xf>
    <xf numFmtId="4" fontId="4" fillId="0" borderId="1" xfId="0" applyNumberFormat="1" applyFont="1" applyBorder="1"/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9" fontId="7" fillId="0" borderId="1" xfId="1" applyFont="1" applyBorder="1" applyAlignment="1">
      <alignment horizontal="right"/>
    </xf>
    <xf numFmtId="4" fontId="7" fillId="0" borderId="1" xfId="0" applyNumberFormat="1" applyFont="1" applyBorder="1"/>
    <xf numFmtId="9" fontId="7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9" fontId="7" fillId="0" borderId="1" xfId="0" applyNumberFormat="1" applyFont="1" applyBorder="1" applyAlignment="1"/>
    <xf numFmtId="3" fontId="10" fillId="0" borderId="1" xfId="0" applyNumberFormat="1" applyFont="1" applyBorder="1" applyAlignment="1">
      <alignment horizontal="left"/>
    </xf>
    <xf numFmtId="3" fontId="11" fillId="0" borderId="1" xfId="0" applyNumberFormat="1" applyFont="1" applyBorder="1" applyAlignment="1">
      <alignment horizontal="right"/>
    </xf>
    <xf numFmtId="3" fontId="11" fillId="0" borderId="1" xfId="0" applyNumberFormat="1" applyFont="1" applyBorder="1"/>
    <xf numFmtId="9" fontId="7" fillId="0" borderId="1" xfId="0" applyNumberFormat="1" applyFont="1" applyBorder="1"/>
    <xf numFmtId="3" fontId="10" fillId="0" borderId="1" xfId="0" applyNumberFormat="1" applyFont="1" applyBorder="1"/>
    <xf numFmtId="9" fontId="4" fillId="0" borderId="1" xfId="0" applyNumberFormat="1" applyFont="1" applyBorder="1"/>
    <xf numFmtId="0" fontId="12" fillId="0" borderId="1" xfId="0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12" fillId="0" borderId="1" xfId="0" applyNumberFormat="1" applyFont="1" applyBorder="1"/>
    <xf numFmtId="9" fontId="12" fillId="0" borderId="1" xfId="1" applyFont="1" applyBorder="1" applyAlignment="1">
      <alignment horizontal="right"/>
    </xf>
    <xf numFmtId="0" fontId="7" fillId="2" borderId="1" xfId="0" applyFont="1" applyFill="1" applyBorder="1"/>
    <xf numFmtId="0" fontId="4" fillId="2" borderId="1" xfId="0" applyFont="1" applyFill="1" applyBorder="1"/>
    <xf numFmtId="0" fontId="0" fillId="2" borderId="1" xfId="0" applyFill="1" applyBorder="1"/>
    <xf numFmtId="3" fontId="4" fillId="2" borderId="1" xfId="0" applyNumberFormat="1" applyFont="1" applyFill="1" applyBorder="1"/>
    <xf numFmtId="3" fontId="0" fillId="2" borderId="1" xfId="0" applyNumberFormat="1" applyFill="1" applyBorder="1"/>
    <xf numFmtId="9" fontId="7" fillId="2" borderId="1" xfId="0" applyNumberFormat="1" applyFont="1" applyFill="1" applyBorder="1" applyAlignment="1"/>
    <xf numFmtId="4" fontId="4" fillId="2" borderId="1" xfId="0" applyNumberFormat="1" applyFont="1" applyFill="1" applyBorder="1"/>
    <xf numFmtId="3" fontId="11" fillId="2" borderId="1" xfId="0" applyNumberFormat="1" applyFont="1" applyFill="1" applyBorder="1"/>
    <xf numFmtId="9" fontId="7" fillId="2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/>
    <xf numFmtId="3" fontId="7" fillId="2" borderId="1" xfId="0" applyNumberFormat="1" applyFont="1" applyFill="1" applyBorder="1"/>
    <xf numFmtId="0" fontId="7" fillId="3" borderId="1" xfId="0" applyFont="1" applyFill="1" applyBorder="1" applyAlignment="1">
      <alignment horizontal="right"/>
    </xf>
    <xf numFmtId="0" fontId="4" fillId="3" borderId="1" xfId="0" applyFont="1" applyFill="1" applyBorder="1"/>
    <xf numFmtId="3" fontId="7" fillId="3" borderId="1" xfId="0" applyNumberFormat="1" applyFont="1" applyFill="1" applyBorder="1"/>
    <xf numFmtId="9" fontId="7" fillId="3" borderId="1" xfId="1" applyFont="1" applyFill="1" applyBorder="1" applyAlignment="1">
      <alignment horizontal="right"/>
    </xf>
    <xf numFmtId="4" fontId="7" fillId="3" borderId="1" xfId="0" applyNumberFormat="1" applyFont="1" applyFill="1" applyBorder="1"/>
    <xf numFmtId="3" fontId="11" fillId="3" borderId="1" xfId="0" applyNumberFormat="1" applyFont="1" applyFill="1" applyBorder="1" applyAlignment="1">
      <alignment horizontal="right"/>
    </xf>
    <xf numFmtId="9" fontId="4" fillId="3" borderId="1" xfId="0" applyNumberFormat="1" applyFont="1" applyFill="1" applyBorder="1" applyAlignment="1">
      <alignment horizontal="left"/>
    </xf>
    <xf numFmtId="4" fontId="4" fillId="3" borderId="1" xfId="0" applyNumberFormat="1" applyFont="1" applyFill="1" applyBorder="1"/>
    <xf numFmtId="0" fontId="22" fillId="3" borderId="1" xfId="0" applyFont="1" applyFill="1" applyBorder="1" applyAlignment="1">
      <alignment horizontal="right"/>
    </xf>
    <xf numFmtId="3" fontId="11" fillId="3" borderId="1" xfId="0" applyNumberFormat="1" applyFont="1" applyFill="1" applyBorder="1"/>
    <xf numFmtId="3" fontId="0" fillId="3" borderId="1" xfId="0" applyNumberFormat="1" applyFill="1" applyBorder="1"/>
    <xf numFmtId="9" fontId="7" fillId="3" borderId="1" xfId="0" applyNumberFormat="1" applyFont="1" applyFill="1" applyBorder="1"/>
    <xf numFmtId="3" fontId="0" fillId="0" borderId="0" xfId="0" applyNumberFormat="1" applyFill="1"/>
    <xf numFmtId="0" fontId="0" fillId="0" borderId="0" xfId="0" applyBorder="1"/>
    <xf numFmtId="3" fontId="3" fillId="0" borderId="0" xfId="0" applyNumberFormat="1" applyFont="1" applyBorder="1"/>
    <xf numFmtId="3" fontId="28" fillId="0" borderId="0" xfId="0" applyNumberFormat="1" applyFont="1" applyBorder="1"/>
    <xf numFmtId="9" fontId="0" fillId="0" borderId="0" xfId="0" applyNumberFormat="1"/>
    <xf numFmtId="3" fontId="0" fillId="0" borderId="0" xfId="0" applyNumberFormat="1" applyBorder="1"/>
    <xf numFmtId="3" fontId="7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10" fontId="4" fillId="0" borderId="1" xfId="0" applyNumberFormat="1" applyFont="1" applyBorder="1"/>
    <xf numFmtId="10" fontId="0" fillId="0" borderId="1" xfId="0" applyNumberFormat="1" applyBorder="1"/>
    <xf numFmtId="3" fontId="31" fillId="0" borderId="1" xfId="0" applyNumberFormat="1" applyFont="1" applyBorder="1"/>
    <xf numFmtId="3" fontId="30" fillId="0" borderId="1" xfId="0" applyNumberFormat="1" applyFont="1" applyBorder="1"/>
    <xf numFmtId="0" fontId="12" fillId="0" borderId="1" xfId="0" applyFont="1" applyBorder="1"/>
    <xf numFmtId="0" fontId="4" fillId="0" borderId="1" xfId="0" applyFont="1" applyBorder="1" applyAlignment="1">
      <alignment horizontal="right"/>
    </xf>
    <xf numFmtId="0" fontId="32" fillId="0" borderId="0" xfId="0" applyFont="1"/>
    <xf numFmtId="0" fontId="33" fillId="0" borderId="1" xfId="0" applyFont="1" applyBorder="1" applyAlignment="1">
      <alignment horizontal="right"/>
    </xf>
    <xf numFmtId="0" fontId="34" fillId="0" borderId="0" xfId="0" applyFont="1"/>
    <xf numFmtId="9" fontId="12" fillId="0" borderId="1" xfId="0" applyNumberFormat="1" applyFont="1" applyBorder="1"/>
    <xf numFmtId="3" fontId="7" fillId="0" borderId="1" xfId="0" applyNumberFormat="1" applyFont="1" applyBorder="1" applyAlignment="1">
      <alignment horizontal="right"/>
    </xf>
    <xf numFmtId="3" fontId="35" fillId="0" borderId="1" xfId="1" applyNumberFormat="1" applyFont="1" applyBorder="1" applyAlignment="1">
      <alignment horizontal="right"/>
    </xf>
    <xf numFmtId="3" fontId="35" fillId="3" borderId="1" xfId="1" applyNumberFormat="1" applyFont="1" applyFill="1" applyBorder="1" applyAlignment="1">
      <alignment horizontal="right"/>
    </xf>
    <xf numFmtId="3" fontId="35" fillId="7" borderId="1" xfId="1" applyNumberFormat="1" applyFont="1" applyFill="1" applyBorder="1" applyAlignment="1">
      <alignment horizontal="right"/>
    </xf>
    <xf numFmtId="3" fontId="36" fillId="0" borderId="1" xfId="1" applyNumberFormat="1" applyFont="1" applyBorder="1" applyAlignment="1">
      <alignment horizontal="right"/>
    </xf>
    <xf numFmtId="3" fontId="22" fillId="0" borderId="0" xfId="0" applyNumberFormat="1" applyFont="1" applyFill="1"/>
    <xf numFmtId="4" fontId="7" fillId="0" borderId="1" xfId="0" applyNumberFormat="1" applyFont="1" applyFill="1" applyBorder="1"/>
    <xf numFmtId="3" fontId="35" fillId="2" borderId="1" xfId="1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horizontal="center"/>
    </xf>
    <xf numFmtId="3" fontId="2" fillId="3" borderId="6" xfId="0" applyNumberFormat="1" applyFont="1" applyFill="1" applyBorder="1"/>
    <xf numFmtId="0" fontId="22" fillId="0" borderId="1" xfId="0" applyFont="1" applyBorder="1"/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3" fontId="3" fillId="0" borderId="6" xfId="0" applyNumberFormat="1" applyFont="1" applyBorder="1"/>
    <xf numFmtId="3" fontId="2" fillId="0" borderId="6" xfId="0" applyNumberFormat="1" applyFont="1" applyBorder="1"/>
    <xf numFmtId="3" fontId="2" fillId="2" borderId="6" xfId="0" applyNumberFormat="1" applyFont="1" applyFill="1" applyBorder="1"/>
    <xf numFmtId="0" fontId="0" fillId="0" borderId="6" xfId="0" applyBorder="1"/>
    <xf numFmtId="3" fontId="2" fillId="0" borderId="6" xfId="0" applyNumberFormat="1" applyFont="1" applyFill="1" applyBorder="1"/>
    <xf numFmtId="3" fontId="2" fillId="4" borderId="6" xfId="0" applyNumberFormat="1" applyFont="1" applyFill="1" applyBorder="1"/>
    <xf numFmtId="3" fontId="2" fillId="7" borderId="6" xfId="0" applyNumberFormat="1" applyFont="1" applyFill="1" applyBorder="1"/>
    <xf numFmtId="3" fontId="3" fillId="0" borderId="7" xfId="0" applyNumberFormat="1" applyFont="1" applyBorder="1"/>
    <xf numFmtId="3" fontId="3" fillId="0" borderId="8" xfId="0" applyNumberFormat="1" applyFont="1" applyBorder="1"/>
    <xf numFmtId="3" fontId="3" fillId="2" borderId="6" xfId="0" applyNumberFormat="1" applyFont="1" applyFill="1" applyBorder="1"/>
    <xf numFmtId="3" fontId="2" fillId="5" borderId="7" xfId="0" applyNumberFormat="1" applyFont="1" applyFill="1" applyBorder="1"/>
    <xf numFmtId="0" fontId="3" fillId="8" borderId="1" xfId="0" applyFont="1" applyFill="1" applyBorder="1" applyAlignment="1">
      <alignment horizontal="left" vertical="top" wrapText="1"/>
    </xf>
    <xf numFmtId="3" fontId="3" fillId="8" borderId="1" xfId="0" applyNumberFormat="1" applyFont="1" applyFill="1" applyBorder="1"/>
    <xf numFmtId="3" fontId="0" fillId="8" borderId="1" xfId="0" applyNumberFormat="1" applyFill="1" applyBorder="1"/>
    <xf numFmtId="0" fontId="2" fillId="8" borderId="1" xfId="0" applyFont="1" applyFill="1" applyBorder="1"/>
    <xf numFmtId="3" fontId="3" fillId="8" borderId="6" xfId="0" applyNumberFormat="1" applyFont="1" applyFill="1" applyBorder="1"/>
    <xf numFmtId="3" fontId="2" fillId="8" borderId="6" xfId="0" applyNumberFormat="1" applyFont="1" applyFill="1" applyBorder="1"/>
    <xf numFmtId="3" fontId="37" fillId="0" borderId="6" xfId="0" applyNumberFormat="1" applyFont="1" applyBorder="1"/>
    <xf numFmtId="0" fontId="29" fillId="0" borderId="1" xfId="0" applyFont="1" applyFill="1" applyBorder="1"/>
    <xf numFmtId="0" fontId="0" fillId="4" borderId="1" xfId="0" applyFill="1" applyBorder="1"/>
    <xf numFmtId="16" fontId="0" fillId="0" borderId="1" xfId="0" applyNumberFormat="1" applyBorder="1"/>
    <xf numFmtId="0" fontId="18" fillId="0" borderId="1" xfId="0" applyFont="1" applyBorder="1" applyAlignment="1">
      <alignment horizontal="left" vertical="top" wrapText="1"/>
    </xf>
    <xf numFmtId="3" fontId="0" fillId="0" borderId="1" xfId="0" applyNumberFormat="1" applyFill="1" applyBorder="1"/>
    <xf numFmtId="0" fontId="7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3" fontId="37" fillId="8" borderId="6" xfId="0" applyNumberFormat="1" applyFont="1" applyFill="1" applyBorder="1"/>
    <xf numFmtId="3" fontId="39" fillId="8" borderId="6" xfId="0" applyNumberFormat="1" applyFont="1" applyFill="1" applyBorder="1"/>
    <xf numFmtId="0" fontId="5" fillId="8" borderId="1" xfId="0" applyFont="1" applyFill="1" applyBorder="1"/>
    <xf numFmtId="0" fontId="2" fillId="8" borderId="1" xfId="0" applyFont="1" applyFill="1" applyBorder="1" applyAlignment="1">
      <alignment horizontal="left" vertical="top" wrapText="1"/>
    </xf>
    <xf numFmtId="3" fontId="2" fillId="8" borderId="1" xfId="0" applyNumberFormat="1" applyFont="1" applyFill="1" applyBorder="1"/>
    <xf numFmtId="0" fontId="12" fillId="0" borderId="1" xfId="0" applyFont="1" applyFill="1" applyBorder="1" applyAlignment="1">
      <alignment horizontal="left" vertical="top" wrapText="1"/>
    </xf>
    <xf numFmtId="3" fontId="2" fillId="0" borderId="7" xfId="0" applyNumberFormat="1" applyFont="1" applyFill="1" applyBorder="1"/>
    <xf numFmtId="0" fontId="2" fillId="0" borderId="3" xfId="0" applyFont="1" applyBorder="1" applyAlignment="1">
      <alignment horizontal="left" vertical="top" wrapText="1"/>
    </xf>
    <xf numFmtId="3" fontId="2" fillId="0" borderId="8" xfId="0" applyNumberFormat="1" applyFont="1" applyFill="1" applyBorder="1"/>
    <xf numFmtId="0" fontId="12" fillId="0" borderId="3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3" fontId="0" fillId="0" borderId="6" xfId="0" applyNumberFormat="1" applyBorder="1"/>
    <xf numFmtId="0" fontId="20" fillId="0" borderId="4" xfId="0" applyFont="1" applyBorder="1" applyAlignment="1">
      <alignment horizontal="left"/>
    </xf>
    <xf numFmtId="3" fontId="22" fillId="0" borderId="8" xfId="0" applyNumberFormat="1" applyFont="1" applyBorder="1"/>
    <xf numFmtId="0" fontId="20" fillId="0" borderId="3" xfId="0" applyFont="1" applyBorder="1" applyAlignment="1">
      <alignment horizontal="left" vertical="top" wrapText="1"/>
    </xf>
    <xf numFmtId="3" fontId="2" fillId="0" borderId="8" xfId="0" applyNumberFormat="1" applyFont="1" applyBorder="1"/>
    <xf numFmtId="0" fontId="3" fillId="0" borderId="1" xfId="0" applyFont="1" applyBorder="1" applyAlignment="1"/>
    <xf numFmtId="0" fontId="3" fillId="2" borderId="1" xfId="0" applyFont="1" applyFill="1" applyBorder="1" applyAlignment="1"/>
    <xf numFmtId="0" fontId="6" fillId="0" borderId="1" xfId="0" applyFont="1" applyFill="1" applyBorder="1" applyAlignment="1"/>
    <xf numFmtId="0" fontId="3" fillId="0" borderId="1" xfId="0" applyFont="1" applyBorder="1" applyAlignment="1">
      <alignment horizontal="left" wrapText="1"/>
    </xf>
    <xf numFmtId="0" fontId="0" fillId="0" borderId="1" xfId="0" applyBorder="1" applyAlignment="1"/>
    <xf numFmtId="0" fontId="3" fillId="3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3" fillId="8" borderId="1" xfId="0" applyFont="1" applyFill="1" applyBorder="1" applyAlignment="1">
      <alignment horizontal="left" wrapText="1"/>
    </xf>
    <xf numFmtId="0" fontId="3" fillId="3" borderId="1" xfId="0" applyFont="1" applyFill="1" applyBorder="1" applyAlignment="1"/>
    <xf numFmtId="0" fontId="3" fillId="4" borderId="1" xfId="0" applyFont="1" applyFill="1" applyBorder="1" applyAlignment="1"/>
    <xf numFmtId="0" fontId="2" fillId="0" borderId="1" xfId="0" applyFont="1" applyBorder="1" applyAlignment="1"/>
    <xf numFmtId="0" fontId="19" fillId="0" borderId="3" xfId="0" applyFont="1" applyFill="1" applyBorder="1" applyAlignment="1"/>
    <xf numFmtId="0" fontId="3" fillId="0" borderId="1" xfId="0" applyFont="1" applyFill="1" applyBorder="1" applyAlignment="1"/>
    <xf numFmtId="0" fontId="0" fillId="0" borderId="0" xfId="0" applyAlignment="1"/>
    <xf numFmtId="0" fontId="2" fillId="0" borderId="1" xfId="0" applyFont="1" applyBorder="1" applyAlignment="1">
      <alignment horizontal="left" wrapText="1"/>
    </xf>
    <xf numFmtId="0" fontId="2" fillId="8" borderId="1" xfId="0" applyFont="1" applyFill="1" applyBorder="1" applyAlignment="1"/>
    <xf numFmtId="0" fontId="20" fillId="8" borderId="1" xfId="0" applyFont="1" applyFill="1" applyBorder="1" applyAlignment="1">
      <alignment horizontal="left" wrapText="1"/>
    </xf>
    <xf numFmtId="0" fontId="38" fillId="8" borderId="1" xfId="0" applyFont="1" applyFill="1" applyBorder="1" applyAlignment="1"/>
    <xf numFmtId="0" fontId="19" fillId="8" borderId="1" xfId="0" applyFont="1" applyFill="1" applyBorder="1" applyAlignment="1"/>
    <xf numFmtId="0" fontId="29" fillId="0" borderId="1" xfId="0" applyFont="1" applyBorder="1" applyAlignment="1"/>
    <xf numFmtId="0" fontId="38" fillId="8" borderId="3" xfId="0" applyFont="1" applyFill="1" applyBorder="1" applyAlignment="1"/>
    <xf numFmtId="0" fontId="29" fillId="8" borderId="3" xfId="0" applyFont="1" applyFill="1" applyBorder="1" applyAlignment="1"/>
    <xf numFmtId="0" fontId="29" fillId="0" borderId="1" xfId="0" applyFont="1" applyFill="1" applyBorder="1" applyAlignment="1"/>
    <xf numFmtId="3" fontId="28" fillId="0" borderId="0" xfId="0" applyNumberFormat="1" applyFont="1"/>
    <xf numFmtId="3" fontId="2" fillId="0" borderId="1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8" fillId="0" borderId="6" xfId="0" applyNumberFormat="1" applyFont="1" applyBorder="1"/>
    <xf numFmtId="0" fontId="44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7" fillId="9" borderId="0" xfId="0" applyFont="1" applyFill="1"/>
    <xf numFmtId="3" fontId="11" fillId="9" borderId="0" xfId="0" applyNumberFormat="1" applyFont="1" applyFill="1"/>
    <xf numFmtId="3" fontId="0" fillId="9" borderId="0" xfId="0" applyNumberFormat="1" applyFill="1"/>
    <xf numFmtId="0" fontId="4" fillId="9" borderId="0" xfId="0" applyFont="1" applyFill="1"/>
    <xf numFmtId="0" fontId="4" fillId="9" borderId="0" xfId="0" applyFont="1" applyFill="1" applyBorder="1"/>
    <xf numFmtId="0" fontId="0" fillId="9" borderId="0" xfId="0" applyFill="1"/>
    <xf numFmtId="3" fontId="10" fillId="9" borderId="0" xfId="0" applyNumberFormat="1" applyFont="1" applyFill="1"/>
    <xf numFmtId="0" fontId="7" fillId="9" borderId="0" xfId="0" applyFont="1" applyFill="1" applyAlignment="1">
      <alignment horizontal="right"/>
    </xf>
    <xf numFmtId="3" fontId="7" fillId="9" borderId="0" xfId="0" applyNumberFormat="1" applyFont="1" applyFill="1"/>
    <xf numFmtId="0" fontId="5" fillId="8" borderId="1" xfId="0" applyFont="1" applyFill="1" applyBorder="1" applyAlignment="1"/>
    <xf numFmtId="0" fontId="5" fillId="0" borderId="1" xfId="0" applyFont="1" applyBorder="1" applyAlignment="1">
      <alignment horizontal="left" wrapText="1"/>
    </xf>
    <xf numFmtId="0" fontId="3" fillId="7" borderId="1" xfId="0" applyFont="1" applyFill="1" applyBorder="1" applyAlignment="1"/>
    <xf numFmtId="0" fontId="2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20" fillId="0" borderId="1" xfId="0" applyFont="1" applyBorder="1" applyAlignment="1">
      <alignment horizontal="left" wrapText="1"/>
    </xf>
    <xf numFmtId="3" fontId="2" fillId="0" borderId="7" xfId="0" applyNumberFormat="1" applyFont="1" applyBorder="1"/>
    <xf numFmtId="3" fontId="3" fillId="0" borderId="2" xfId="0" applyNumberFormat="1" applyFont="1" applyBorder="1"/>
    <xf numFmtId="0" fontId="2" fillId="8" borderId="1" xfId="0" applyFont="1" applyFill="1" applyBorder="1" applyAlignment="1">
      <alignment horizontal="left" wrapText="1"/>
    </xf>
    <xf numFmtId="0" fontId="45" fillId="8" borderId="1" xfId="0" applyFont="1" applyFill="1" applyBorder="1" applyAlignment="1"/>
    <xf numFmtId="3" fontId="45" fillId="8" borderId="1" xfId="0" applyNumberFormat="1" applyFont="1" applyFill="1" applyBorder="1"/>
    <xf numFmtId="0" fontId="22" fillId="8" borderId="0" xfId="0" applyFont="1" applyFill="1" applyAlignment="1"/>
    <xf numFmtId="0" fontId="38" fillId="0" borderId="3" xfId="0" applyFont="1" applyBorder="1" applyAlignment="1">
      <alignment vertical="center"/>
    </xf>
    <xf numFmtId="0" fontId="38" fillId="8" borderId="1" xfId="0" applyFont="1" applyFill="1" applyBorder="1" applyAlignment="1">
      <alignment vertical="center"/>
    </xf>
    <xf numFmtId="0" fontId="38" fillId="8" borderId="3" xfId="0" applyFont="1" applyFill="1" applyBorder="1" applyAlignment="1">
      <alignment vertical="center"/>
    </xf>
    <xf numFmtId="3" fontId="38" fillId="8" borderId="3" xfId="0" applyNumberFormat="1" applyFont="1" applyFill="1" applyBorder="1" applyAlignment="1">
      <alignment vertical="center"/>
    </xf>
    <xf numFmtId="3" fontId="3" fillId="0" borderId="7" xfId="0" applyNumberFormat="1" applyFont="1" applyFill="1" applyBorder="1"/>
    <xf numFmtId="0" fontId="26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top" wrapText="1"/>
    </xf>
    <xf numFmtId="3" fontId="2" fillId="8" borderId="1" xfId="0" applyNumberFormat="1" applyFont="1" applyFill="1" applyBorder="1" applyAlignment="1">
      <alignment horizontal="right"/>
    </xf>
    <xf numFmtId="0" fontId="0" fillId="0" borderId="1" xfId="0" applyFont="1" applyBorder="1"/>
    <xf numFmtId="3" fontId="22" fillId="0" borderId="1" xfId="0" applyNumberFormat="1" applyFont="1" applyBorder="1"/>
    <xf numFmtId="3" fontId="0" fillId="9" borderId="1" xfId="0" applyNumberFormat="1" applyFill="1" applyBorder="1"/>
    <xf numFmtId="0" fontId="7" fillId="10" borderId="0" xfId="0" applyFont="1" applyFill="1"/>
    <xf numFmtId="3" fontId="11" fillId="10" borderId="0" xfId="0" applyNumberFormat="1" applyFont="1" applyFill="1"/>
    <xf numFmtId="3" fontId="0" fillId="10" borderId="0" xfId="0" applyNumberFormat="1" applyFill="1"/>
    <xf numFmtId="0" fontId="4" fillId="10" borderId="0" xfId="0" applyFont="1" applyFill="1"/>
    <xf numFmtId="0" fontId="4" fillId="10" borderId="0" xfId="0" applyFont="1" applyFill="1" applyBorder="1"/>
    <xf numFmtId="0" fontId="0" fillId="10" borderId="0" xfId="0" applyFill="1"/>
    <xf numFmtId="3" fontId="10" fillId="10" borderId="0" xfId="0" applyNumberFormat="1" applyFont="1" applyFill="1"/>
    <xf numFmtId="0" fontId="7" fillId="10" borderId="0" xfId="0" applyFont="1" applyFill="1" applyAlignment="1">
      <alignment horizontal="right"/>
    </xf>
    <xf numFmtId="3" fontId="7" fillId="10" borderId="0" xfId="0" applyNumberFormat="1" applyFont="1" applyFill="1"/>
    <xf numFmtId="16" fontId="0" fillId="0" borderId="1" xfId="0" applyNumberFormat="1" applyFill="1" applyBorder="1"/>
    <xf numFmtId="0" fontId="5" fillId="9" borderId="1" xfId="0" applyFont="1" applyFill="1" applyBorder="1"/>
    <xf numFmtId="0" fontId="2" fillId="9" borderId="1" xfId="0" applyFont="1" applyFill="1" applyBorder="1" applyAlignment="1">
      <alignment horizontal="left" vertical="top" wrapText="1"/>
    </xf>
    <xf numFmtId="3" fontId="2" fillId="9" borderId="1" xfId="0" applyNumberFormat="1" applyFont="1" applyFill="1" applyBorder="1"/>
    <xf numFmtId="3" fontId="2" fillId="8" borderId="2" xfId="0" applyNumberFormat="1" applyFont="1" applyFill="1" applyBorder="1"/>
    <xf numFmtId="0" fontId="2" fillId="11" borderId="1" xfId="0" applyFont="1" applyFill="1" applyBorder="1" applyAlignment="1">
      <alignment horizontal="left" vertical="top" wrapText="1"/>
    </xf>
    <xf numFmtId="3" fontId="2" fillId="11" borderId="2" xfId="0" applyNumberFormat="1" applyFont="1" applyFill="1" applyBorder="1"/>
    <xf numFmtId="0" fontId="2" fillId="9" borderId="1" xfId="0" applyFont="1" applyFill="1" applyBorder="1"/>
    <xf numFmtId="3" fontId="2" fillId="9" borderId="6" xfId="0" applyNumberFormat="1" applyFont="1" applyFill="1" applyBorder="1"/>
    <xf numFmtId="0" fontId="41" fillId="9" borderId="1" xfId="0" applyFont="1" applyFill="1" applyBorder="1"/>
    <xf numFmtId="0" fontId="12" fillId="8" borderId="1" xfId="0" applyFont="1" applyFill="1" applyBorder="1" applyAlignment="1">
      <alignment horizontal="left" vertical="top" wrapText="1"/>
    </xf>
    <xf numFmtId="0" fontId="26" fillId="8" borderId="1" xfId="0" applyFont="1" applyFill="1" applyBorder="1" applyAlignment="1">
      <alignment horizontal="left" vertical="top" wrapText="1"/>
    </xf>
    <xf numFmtId="0" fontId="12" fillId="12" borderId="1" xfId="0" applyFont="1" applyFill="1" applyBorder="1" applyAlignment="1">
      <alignment horizontal="left" vertical="top" wrapText="1"/>
    </xf>
    <xf numFmtId="3" fontId="2" fillId="12" borderId="7" xfId="0" applyNumberFormat="1" applyFont="1" applyFill="1" applyBorder="1"/>
    <xf numFmtId="3" fontId="2" fillId="0" borderId="1" xfId="0" applyNumberFormat="1" applyFont="1" applyFill="1" applyBorder="1" applyAlignment="1">
      <alignment horizontal="right"/>
    </xf>
    <xf numFmtId="0" fontId="5" fillId="9" borderId="1" xfId="0" applyFont="1" applyFill="1" applyBorder="1" applyAlignment="1"/>
    <xf numFmtId="0" fontId="3" fillId="9" borderId="1" xfId="0" applyFont="1" applyFill="1" applyBorder="1" applyAlignment="1">
      <alignment horizontal="left" wrapText="1"/>
    </xf>
    <xf numFmtId="3" fontId="28" fillId="9" borderId="0" xfId="0" applyNumberFormat="1" applyFont="1" applyFill="1"/>
    <xf numFmtId="3" fontId="3" fillId="9" borderId="1" xfId="0" applyNumberFormat="1" applyFont="1" applyFill="1" applyBorder="1"/>
    <xf numFmtId="0" fontId="2" fillId="9" borderId="1" xfId="0" applyFont="1" applyFill="1" applyBorder="1" applyAlignment="1"/>
    <xf numFmtId="3" fontId="3" fillId="9" borderId="6" xfId="0" applyNumberFormat="1" applyFont="1" applyFill="1" applyBorder="1"/>
    <xf numFmtId="0" fontId="38" fillId="9" borderId="1" xfId="0" applyFont="1" applyFill="1" applyBorder="1" applyAlignment="1"/>
    <xf numFmtId="0" fontId="38" fillId="9" borderId="3" xfId="0" applyFont="1" applyFill="1" applyBorder="1" applyAlignment="1"/>
    <xf numFmtId="0" fontId="29" fillId="9" borderId="3" xfId="0" applyFont="1" applyFill="1" applyBorder="1" applyAlignment="1"/>
    <xf numFmtId="0" fontId="20" fillId="9" borderId="3" xfId="0" applyFont="1" applyFill="1" applyBorder="1" applyAlignment="1"/>
    <xf numFmtId="0" fontId="40" fillId="9" borderId="1" xfId="0" applyFont="1" applyFill="1" applyBorder="1" applyAlignment="1"/>
    <xf numFmtId="3" fontId="28" fillId="9" borderId="1" xfId="0" applyNumberFormat="1" applyFont="1" applyFill="1" applyBorder="1"/>
    <xf numFmtId="0" fontId="41" fillId="9" borderId="1" xfId="0" applyFont="1" applyFill="1" applyBorder="1" applyAlignment="1"/>
    <xf numFmtId="3" fontId="3" fillId="9" borderId="1" xfId="0" applyNumberFormat="1" applyFont="1" applyFill="1" applyBorder="1" applyAlignment="1">
      <alignment horizontal="right"/>
    </xf>
    <xf numFmtId="0" fontId="5" fillId="13" borderId="1" xfId="0" applyFont="1" applyFill="1" applyBorder="1"/>
    <xf numFmtId="0" fontId="5" fillId="14" borderId="3" xfId="0" applyFont="1" applyFill="1" applyBorder="1"/>
    <xf numFmtId="0" fontId="40" fillId="8" borderId="1" xfId="0" applyFont="1" applyFill="1" applyBorder="1" applyAlignment="1"/>
    <xf numFmtId="0" fontId="19" fillId="8" borderId="1" xfId="0" applyFont="1" applyFill="1" applyBorder="1" applyAlignment="1">
      <alignment horizontal="left" wrapText="1"/>
    </xf>
    <xf numFmtId="0" fontId="20" fillId="11" borderId="1" xfId="0" applyFont="1" applyFill="1" applyBorder="1" applyAlignment="1">
      <alignment horizontal="left" wrapText="1"/>
    </xf>
    <xf numFmtId="3" fontId="2" fillId="11" borderId="7" xfId="0" applyNumberFormat="1" applyFont="1" applyFill="1" applyBorder="1"/>
    <xf numFmtId="3" fontId="3" fillId="11" borderId="8" xfId="0" applyNumberFormat="1" applyFont="1" applyFill="1" applyBorder="1"/>
    <xf numFmtId="0" fontId="19" fillId="11" borderId="3" xfId="0" applyFont="1" applyFill="1" applyBorder="1" applyAlignment="1"/>
    <xf numFmtId="3" fontId="2" fillId="11" borderId="8" xfId="0" applyNumberFormat="1" applyFont="1" applyFill="1" applyBorder="1"/>
    <xf numFmtId="3" fontId="29" fillId="0" borderId="1" xfId="0" applyNumberFormat="1" applyFont="1" applyBorder="1"/>
    <xf numFmtId="3" fontId="29" fillId="0" borderId="3" xfId="0" applyNumberFormat="1" applyFont="1" applyBorder="1"/>
    <xf numFmtId="0" fontId="3" fillId="5" borderId="2" xfId="0" applyFont="1" applyFill="1" applyBorder="1" applyAlignment="1"/>
    <xf numFmtId="0" fontId="3" fillId="0" borderId="2" xfId="0" applyFont="1" applyFill="1" applyBorder="1" applyAlignment="1"/>
    <xf numFmtId="0" fontId="20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3" fillId="6" borderId="4" xfId="0" applyFont="1" applyFill="1" applyBorder="1" applyAlignment="1"/>
    <xf numFmtId="0" fontId="45" fillId="0" borderId="1" xfId="0" applyFont="1" applyBorder="1"/>
    <xf numFmtId="0" fontId="28" fillId="0" borderId="1" xfId="0" applyFont="1" applyBorder="1"/>
    <xf numFmtId="0" fontId="44" fillId="0" borderId="1" xfId="0" applyFont="1" applyBorder="1"/>
    <xf numFmtId="0" fontId="28" fillId="8" borderId="1" xfId="0" applyFont="1" applyFill="1" applyBorder="1"/>
    <xf numFmtId="0" fontId="28" fillId="9" borderId="1" xfId="0" applyFont="1" applyFill="1" applyBorder="1"/>
    <xf numFmtId="0" fontId="44" fillId="0" borderId="1" xfId="0" applyFont="1" applyFill="1" applyBorder="1"/>
    <xf numFmtId="0" fontId="22" fillId="9" borderId="0" xfId="0" applyFont="1" applyFill="1" applyAlignment="1"/>
    <xf numFmtId="3" fontId="28" fillId="9" borderId="6" xfId="0" applyNumberFormat="1" applyFont="1" applyFill="1" applyBorder="1"/>
    <xf numFmtId="0" fontId="47" fillId="9" borderId="1" xfId="0" applyFont="1" applyFill="1" applyBorder="1" applyAlignment="1">
      <alignment vertical="center"/>
    </xf>
    <xf numFmtId="0" fontId="26" fillId="9" borderId="1" xfId="0" applyFont="1" applyFill="1" applyBorder="1"/>
    <xf numFmtId="0" fontId="40" fillId="9" borderId="1" xfId="0" applyFont="1" applyFill="1" applyBorder="1" applyAlignment="1">
      <alignment vertical="center"/>
    </xf>
    <xf numFmtId="0" fontId="40" fillId="9" borderId="1" xfId="0" applyFont="1" applyFill="1" applyBorder="1"/>
    <xf numFmtId="3" fontId="48" fillId="9" borderId="1" xfId="0" applyNumberFormat="1" applyFont="1" applyFill="1" applyBorder="1" applyAlignment="1">
      <alignment vertical="center"/>
    </xf>
    <xf numFmtId="0" fontId="2" fillId="0" borderId="1" xfId="0" applyFont="1" applyFill="1" applyBorder="1"/>
    <xf numFmtId="3" fontId="2" fillId="0" borderId="2" xfId="0" applyNumberFormat="1" applyFont="1" applyFill="1" applyBorder="1"/>
    <xf numFmtId="0" fontId="0" fillId="8" borderId="1" xfId="0" applyFont="1" applyFill="1" applyBorder="1" applyAlignment="1"/>
    <xf numFmtId="3" fontId="28" fillId="8" borderId="1" xfId="0" applyNumberFormat="1" applyFont="1" applyFill="1" applyBorder="1"/>
    <xf numFmtId="0" fontId="49" fillId="0" borderId="1" xfId="0" applyFont="1" applyBorder="1" applyAlignment="1">
      <alignment horizontal="left" vertical="top" wrapText="1"/>
    </xf>
    <xf numFmtId="0" fontId="49" fillId="0" borderId="0" xfId="0" applyFont="1" applyAlignment="1">
      <alignment horizontal="left" vertical="top" wrapText="1"/>
    </xf>
    <xf numFmtId="0" fontId="49" fillId="0" borderId="1" xfId="0" applyFont="1" applyBorder="1" applyAlignment="1">
      <alignment horizontal="left" wrapText="1"/>
    </xf>
    <xf numFmtId="0" fontId="49" fillId="0" borderId="2" xfId="0" applyFont="1" applyBorder="1" applyAlignment="1">
      <alignment horizontal="left" vertical="top" wrapText="1"/>
    </xf>
    <xf numFmtId="0" fontId="50" fillId="0" borderId="1" xfId="0" applyFont="1" applyBorder="1" applyAlignment="1">
      <alignment horizontal="left" vertical="top" wrapText="1"/>
    </xf>
    <xf numFmtId="0" fontId="49" fillId="0" borderId="3" xfId="0" applyFont="1" applyBorder="1" applyAlignment="1">
      <alignment horizontal="left" wrapText="1"/>
    </xf>
    <xf numFmtId="0" fontId="52" fillId="0" borderId="1" xfId="0" applyFont="1" applyBorder="1" applyAlignment="1">
      <alignment horizontal="left" vertical="top" wrapText="1"/>
    </xf>
    <xf numFmtId="0" fontId="49" fillId="0" borderId="1" xfId="0" applyFont="1" applyFill="1" applyBorder="1" applyAlignment="1">
      <alignment horizontal="left" vertical="top" wrapText="1"/>
    </xf>
    <xf numFmtId="0" fontId="0" fillId="0" borderId="9" xfId="0" applyBorder="1"/>
    <xf numFmtId="0" fontId="23" fillId="0" borderId="5" xfId="0" applyFont="1" applyBorder="1" applyAlignment="1">
      <alignment horizontal="left" vertical="top" wrapText="1"/>
    </xf>
    <xf numFmtId="0" fontId="0" fillId="0" borderId="9" xfId="0" applyBorder="1" applyAlignment="1"/>
    <xf numFmtId="0" fontId="0" fillId="0" borderId="0" xfId="0" applyFill="1" applyBorder="1" applyAlignment="1"/>
    <xf numFmtId="0" fontId="49" fillId="0" borderId="3" xfId="0" applyFont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49" fontId="49" fillId="0" borderId="1" xfId="0" applyNumberFormat="1" applyFont="1" applyBorder="1" applyAlignment="1">
      <alignment horizontal="left" vertical="top" wrapText="1"/>
    </xf>
    <xf numFmtId="0" fontId="49" fillId="0" borderId="0" xfId="0" applyFont="1" applyBorder="1" applyAlignment="1">
      <alignment horizontal="left" vertical="top" wrapText="1"/>
    </xf>
    <xf numFmtId="0" fontId="49" fillId="2" borderId="1" xfId="0" applyFont="1" applyFill="1" applyBorder="1" applyAlignment="1">
      <alignment horizontal="left" wrapText="1"/>
    </xf>
    <xf numFmtId="49" fontId="49" fillId="2" borderId="1" xfId="0" applyNumberFormat="1" applyFont="1" applyFill="1" applyBorder="1" applyAlignment="1">
      <alignment horizontal="left" vertical="top" wrapText="1"/>
    </xf>
    <xf numFmtId="0" fontId="38" fillId="2" borderId="3" xfId="0" applyFont="1" applyFill="1" applyBorder="1" applyAlignment="1"/>
    <xf numFmtId="0" fontId="49" fillId="2" borderId="3" xfId="0" applyFont="1" applyFill="1" applyBorder="1" applyAlignment="1">
      <alignment horizontal="left" wrapText="1"/>
    </xf>
    <xf numFmtId="49" fontId="51" fillId="0" borderId="1" xfId="0" applyNumberFormat="1" applyFont="1" applyBorder="1" applyAlignment="1">
      <alignment horizontal="left" vertical="top" wrapText="1"/>
    </xf>
    <xf numFmtId="0" fontId="49" fillId="0" borderId="3" xfId="0" applyFont="1" applyFill="1" applyBorder="1" applyAlignment="1">
      <alignment horizontal="left" wrapText="1"/>
    </xf>
    <xf numFmtId="3" fontId="0" fillId="0" borderId="0" xfId="0" applyNumberFormat="1" applyAlignment="1"/>
    <xf numFmtId="49" fontId="53" fillId="0" borderId="1" xfId="0" applyNumberFormat="1" applyFont="1" applyBorder="1" applyAlignment="1">
      <alignment horizontal="left" vertical="top" wrapText="1"/>
    </xf>
    <xf numFmtId="49" fontId="49" fillId="0" borderId="3" xfId="0" applyNumberFormat="1" applyFont="1" applyFill="1" applyBorder="1" applyAlignment="1">
      <alignment horizontal="left" vertical="top" wrapText="1"/>
    </xf>
    <xf numFmtId="0" fontId="54" fillId="9" borderId="1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12" fillId="8" borderId="1" xfId="0" applyFont="1" applyFill="1" applyBorder="1" applyAlignment="1"/>
    <xf numFmtId="0" fontId="18" fillId="9" borderId="1" xfId="0" applyFont="1" applyFill="1" applyBorder="1" applyAlignment="1"/>
    <xf numFmtId="0" fontId="12" fillId="9" borderId="1" xfId="0" applyFont="1" applyFill="1" applyBorder="1" applyAlignment="1"/>
    <xf numFmtId="49" fontId="49" fillId="0" borderId="1" xfId="0" applyNumberFormat="1" applyFont="1" applyBorder="1" applyAlignment="1">
      <alignment horizontal="right" vertical="top" wrapText="1"/>
    </xf>
    <xf numFmtId="0" fontId="52" fillId="0" borderId="1" xfId="0" applyFont="1" applyBorder="1" applyAlignment="1">
      <alignment horizontal="right" vertical="top" wrapText="1"/>
    </xf>
    <xf numFmtId="0" fontId="55" fillId="0" borderId="1" xfId="0" applyFont="1" applyFill="1" applyBorder="1" applyAlignment="1">
      <alignment horizontal="left" wrapText="1"/>
    </xf>
    <xf numFmtId="0" fontId="56" fillId="0" borderId="1" xfId="0" applyFont="1" applyBorder="1"/>
    <xf numFmtId="2" fontId="0" fillId="0" borderId="0" xfId="0" applyNumberFormat="1"/>
    <xf numFmtId="0" fontId="57" fillId="0" borderId="1" xfId="0" applyFont="1" applyBorder="1"/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left" wrapText="1"/>
    </xf>
    <xf numFmtId="3" fontId="2" fillId="2" borderId="1" xfId="0" applyNumberFormat="1" applyFont="1" applyFill="1" applyBorder="1"/>
    <xf numFmtId="2" fontId="0" fillId="2" borderId="0" xfId="0" applyNumberFormat="1" applyFill="1" applyAlignment="1">
      <alignment horizontal="center"/>
    </xf>
    <xf numFmtId="49" fontId="12" fillId="0" borderId="1" xfId="0" applyNumberFormat="1" applyFont="1" applyFill="1" applyBorder="1" applyAlignment="1">
      <alignment horizontal="left" vertical="top" wrapText="1"/>
    </xf>
    <xf numFmtId="3" fontId="2" fillId="0" borderId="11" xfId="0" applyNumberFormat="1" applyFont="1" applyFill="1" applyBorder="1"/>
    <xf numFmtId="2" fontId="0" fillId="0" borderId="1" xfId="0" applyNumberFormat="1" applyBorder="1"/>
    <xf numFmtId="0" fontId="3" fillId="0" borderId="3" xfId="0" applyFont="1" applyBorder="1" applyAlignment="1">
      <alignment horizontal="left" wrapText="1"/>
    </xf>
    <xf numFmtId="3" fontId="3" fillId="0" borderId="4" xfId="0" applyNumberFormat="1" applyFont="1" applyBorder="1"/>
    <xf numFmtId="49" fontId="49" fillId="0" borderId="3" xfId="0" applyNumberFormat="1" applyFont="1" applyBorder="1" applyAlignment="1">
      <alignment horizontal="left" vertical="top" wrapText="1"/>
    </xf>
    <xf numFmtId="3" fontId="2" fillId="0" borderId="1" xfId="0" applyNumberFormat="1" applyFont="1" applyBorder="1"/>
    <xf numFmtId="49" fontId="23" fillId="0" borderId="1" xfId="0" applyNumberFormat="1" applyFont="1" applyBorder="1" applyAlignment="1">
      <alignment horizontal="left" vertical="top" wrapText="1"/>
    </xf>
    <xf numFmtId="0" fontId="0" fillId="0" borderId="12" xfId="0" applyBorder="1"/>
    <xf numFmtId="0" fontId="26" fillId="2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3" fontId="3" fillId="0" borderId="2" xfId="0" applyNumberFormat="1" applyFont="1" applyFill="1" applyBorder="1"/>
    <xf numFmtId="0" fontId="26" fillId="2" borderId="1" xfId="0" applyFont="1" applyFill="1" applyBorder="1" applyAlignment="1">
      <alignment horizontal="center" wrapText="1"/>
    </xf>
    <xf numFmtId="0" fontId="12" fillId="5" borderId="2" xfId="0" applyFont="1" applyFill="1" applyBorder="1" applyAlignment="1">
      <alignment horizontal="left" wrapText="1"/>
    </xf>
    <xf numFmtId="3" fontId="2" fillId="5" borderId="2" xfId="0" applyNumberFormat="1" applyFont="1" applyFill="1" applyBorder="1"/>
    <xf numFmtId="0" fontId="12" fillId="0" borderId="4" xfId="0" applyFont="1" applyFill="1" applyBorder="1" applyAlignment="1">
      <alignment horizontal="left" vertical="top" wrapText="1"/>
    </xf>
    <xf numFmtId="0" fontId="23" fillId="0" borderId="1" xfId="0" applyFont="1" applyBorder="1" applyAlignment="1"/>
    <xf numFmtId="2" fontId="0" fillId="0" borderId="0" xfId="0" applyNumberFormat="1" applyBorder="1"/>
    <xf numFmtId="0" fontId="49" fillId="0" borderId="3" xfId="0" applyFont="1" applyFill="1" applyBorder="1" applyAlignment="1">
      <alignment horizontal="left" vertical="top" wrapText="1"/>
    </xf>
    <xf numFmtId="0" fontId="28" fillId="0" borderId="1" xfId="0" applyFont="1" applyBorder="1" applyAlignment="1"/>
    <xf numFmtId="0" fontId="28" fillId="0" borderId="1" xfId="0" applyFont="1" applyFill="1" applyBorder="1" applyAlignment="1"/>
    <xf numFmtId="3" fontId="0" fillId="0" borderId="4" xfId="0" applyNumberFormat="1" applyFont="1" applyBorder="1"/>
    <xf numFmtId="14" fontId="49" fillId="0" borderId="3" xfId="0" applyNumberFormat="1" applyFont="1" applyBorder="1" applyAlignment="1">
      <alignment horizontal="left" vertical="top" wrapText="1"/>
    </xf>
    <xf numFmtId="3" fontId="0" fillId="0" borderId="1" xfId="0" applyNumberFormat="1" applyFont="1" applyBorder="1"/>
    <xf numFmtId="0" fontId="49" fillId="0" borderId="4" xfId="0" applyFont="1" applyBorder="1" applyAlignment="1">
      <alignment horizontal="left" vertical="top" wrapText="1"/>
    </xf>
    <xf numFmtId="0" fontId="27" fillId="0" borderId="4" xfId="0" applyFont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top" wrapText="1"/>
    </xf>
    <xf numFmtId="0" fontId="58" fillId="0" borderId="1" xfId="0" applyFont="1" applyBorder="1"/>
    <xf numFmtId="0" fontId="59" fillId="0" borderId="1" xfId="0" applyFont="1" applyFill="1" applyBorder="1" applyAlignment="1">
      <alignment horizontal="left"/>
    </xf>
    <xf numFmtId="3" fontId="58" fillId="0" borderId="1" xfId="0" applyNumberFormat="1" applyFont="1" applyBorder="1"/>
    <xf numFmtId="2" fontId="58" fillId="0" borderId="0" xfId="0" applyNumberFormat="1" applyFont="1"/>
    <xf numFmtId="1" fontId="58" fillId="0" borderId="0" xfId="0" applyNumberFormat="1" applyFont="1"/>
    <xf numFmtId="0" fontId="2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49" fillId="0" borderId="1" xfId="0" applyFont="1" applyBorder="1" applyAlignment="1">
      <alignment horizontal="center" vertical="top" wrapText="1"/>
    </xf>
    <xf numFmtId="0" fontId="49" fillId="0" borderId="3" xfId="0" applyFont="1" applyBorder="1" applyAlignment="1">
      <alignment horizontal="center" vertical="top" wrapText="1"/>
    </xf>
    <xf numFmtId="0" fontId="49" fillId="0" borderId="3" xfId="0" applyFont="1" applyFill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6" fillId="0" borderId="1" xfId="0" applyFont="1" applyBorder="1" applyAlignment="1">
      <alignment horizontal="left" vertical="top" wrapText="1"/>
    </xf>
    <xf numFmtId="49" fontId="49" fillId="0" borderId="3" xfId="0" applyNumberFormat="1" applyFont="1" applyBorder="1" applyAlignment="1">
      <alignment horizontal="right" vertical="top" wrapText="1"/>
    </xf>
    <xf numFmtId="49" fontId="49" fillId="0" borderId="1" xfId="0" applyNumberFormat="1" applyFont="1" applyBorder="1" applyAlignment="1">
      <alignment horizontal="left" wrapText="1"/>
    </xf>
    <xf numFmtId="49" fontId="52" fillId="0" borderId="1" xfId="0" applyNumberFormat="1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0" fontId="26" fillId="0" borderId="0" xfId="0" applyFont="1" applyAlignment="1">
      <alignment horizontal="left" wrapText="1"/>
    </xf>
  </cellXfs>
  <cellStyles count="276">
    <cellStyle name="Följd hyperlänk" xfId="3" builtinId="9" hidden="1"/>
    <cellStyle name="Följd hyperlänk" xfId="5" builtinId="9" hidden="1"/>
    <cellStyle name="Följd hyperlänk" xfId="7" builtinId="9" hidden="1"/>
    <cellStyle name="Följd hyperlänk" xfId="9" builtinId="9" hidden="1"/>
    <cellStyle name="Följd hyperlänk" xfId="11" builtinId="9" hidden="1"/>
    <cellStyle name="Följd hyperlänk" xfId="13" builtinId="9" hidden="1"/>
    <cellStyle name="Följd hyperlänk" xfId="15" builtinId="9" hidden="1"/>
    <cellStyle name="Följd hyperlänk" xfId="17" builtinId="9" hidden="1"/>
    <cellStyle name="Följd hyperlänk" xfId="19" builtinId="9" hidden="1"/>
    <cellStyle name="Följd hyperlänk" xfId="21" builtinId="9" hidden="1"/>
    <cellStyle name="Följd hyperlänk" xfId="23" builtinId="9" hidden="1"/>
    <cellStyle name="Följd hyperlänk" xfId="25" builtinId="9" hidden="1"/>
    <cellStyle name="Följd hyperlänk" xfId="27" builtinId="9" hidden="1"/>
    <cellStyle name="Följd hyperlänk" xfId="29" builtinId="9" hidden="1"/>
    <cellStyle name="Följd hyperlänk" xfId="31" builtinId="9" hidden="1"/>
    <cellStyle name="Följd hyperlänk" xfId="33" builtinId="9" hidden="1"/>
    <cellStyle name="Följd hyperlänk" xfId="35" builtinId="9" hidden="1"/>
    <cellStyle name="Följd hyperlänk" xfId="37" builtinId="9" hidden="1"/>
    <cellStyle name="Följd hyperlänk" xfId="39" builtinId="9" hidden="1"/>
    <cellStyle name="Följd hyperlänk" xfId="41" builtinId="9" hidden="1"/>
    <cellStyle name="Följd hyperlänk" xfId="43" builtinId="9" hidden="1"/>
    <cellStyle name="Följd hyperlänk" xfId="45" builtinId="9" hidden="1"/>
    <cellStyle name="Följd hyperlänk" xfId="47" builtinId="9" hidden="1"/>
    <cellStyle name="Följd hyperlänk" xfId="49" builtinId="9" hidden="1"/>
    <cellStyle name="Följd hyperlänk" xfId="51" builtinId="9" hidden="1"/>
    <cellStyle name="Följd hyperlänk" xfId="53" builtinId="9" hidden="1"/>
    <cellStyle name="Följd hyperlänk" xfId="55" builtinId="9" hidden="1"/>
    <cellStyle name="Följd hyperlänk" xfId="57" builtinId="9" hidden="1"/>
    <cellStyle name="Följd hyperlänk" xfId="59" builtinId="9" hidden="1"/>
    <cellStyle name="Följd hyperlänk" xfId="61" builtinId="9" hidden="1"/>
    <cellStyle name="Följd hyperlänk" xfId="63" builtinId="9" hidden="1"/>
    <cellStyle name="Följd hyperlänk" xfId="65" builtinId="9" hidden="1"/>
    <cellStyle name="Följd hyperlänk" xfId="67" builtinId="9" hidden="1"/>
    <cellStyle name="Följd hyperlänk" xfId="69" builtinId="9" hidden="1"/>
    <cellStyle name="Följd hyperlänk" xfId="71" builtinId="9" hidden="1"/>
    <cellStyle name="Följd hyperlänk" xfId="73" builtinId="9" hidden="1"/>
    <cellStyle name="Följd hyperlänk" xfId="75" builtinId="9" hidden="1"/>
    <cellStyle name="Följd hyperlänk" xfId="77" builtinId="9" hidden="1"/>
    <cellStyle name="Följd hyperlänk" xfId="79" builtinId="9" hidden="1"/>
    <cellStyle name="Följd hyperlänk" xfId="81" builtinId="9" hidden="1"/>
    <cellStyle name="Följd hyperlänk" xfId="83" builtinId="9" hidden="1"/>
    <cellStyle name="Följd hyperlänk" xfId="85" builtinId="9" hidden="1"/>
    <cellStyle name="Följd hyperlänk" xfId="87" builtinId="9" hidden="1"/>
    <cellStyle name="Följd hyperlänk" xfId="89" builtinId="9" hidden="1"/>
    <cellStyle name="Följd hyperlänk" xfId="91" builtinId="9" hidden="1"/>
    <cellStyle name="Följd hyperlänk" xfId="93" builtinId="9" hidden="1"/>
    <cellStyle name="Följd hyperlänk" xfId="95" builtinId="9" hidden="1"/>
    <cellStyle name="Följd hyperlänk" xfId="97" builtinId="9" hidden="1"/>
    <cellStyle name="Följd hyperlänk" xfId="99" builtinId="9" hidden="1"/>
    <cellStyle name="Följd hyperlänk" xfId="101" builtinId="9" hidden="1"/>
    <cellStyle name="Följd hyperlänk" xfId="103" builtinId="9" hidden="1"/>
    <cellStyle name="Följd hyperlänk" xfId="105" builtinId="9" hidden="1"/>
    <cellStyle name="Följd hyperlänk" xfId="107" builtinId="9" hidden="1"/>
    <cellStyle name="Följd hyperlänk" xfId="109" builtinId="9" hidden="1"/>
    <cellStyle name="Följd hyperlänk" xfId="111" builtinId="9" hidden="1"/>
    <cellStyle name="Följd hyperlänk" xfId="113" builtinId="9" hidden="1"/>
    <cellStyle name="Följd hyperlänk" xfId="115" builtinId="9" hidden="1"/>
    <cellStyle name="Följd hyperlänk" xfId="117" builtinId="9" hidden="1"/>
    <cellStyle name="Följd hyperlänk" xfId="119" builtinId="9" hidden="1"/>
    <cellStyle name="Följd hyperlänk" xfId="121" builtinId="9" hidden="1"/>
    <cellStyle name="Följd hyperlänk" xfId="123" builtinId="9" hidden="1"/>
    <cellStyle name="Följd hyperlänk" xfId="125" builtinId="9" hidden="1"/>
    <cellStyle name="Följd hyperlänk" xfId="127" builtinId="9" hidden="1"/>
    <cellStyle name="Följd hyperlänk" xfId="129" builtinId="9" hidden="1"/>
    <cellStyle name="Följd hyperlänk" xfId="131" builtinId="9" hidden="1"/>
    <cellStyle name="Följd hyperlänk" xfId="133" builtinId="9" hidden="1"/>
    <cellStyle name="Följd hyperlänk" xfId="135" builtinId="9" hidden="1"/>
    <cellStyle name="Följd hyperlänk" xfId="137" builtinId="9" hidden="1"/>
    <cellStyle name="Följd hyperlänk" xfId="139" builtinId="9" hidden="1"/>
    <cellStyle name="Följd hyperlänk" xfId="141" builtinId="9" hidden="1"/>
    <cellStyle name="Följd hyperlänk" xfId="143" builtinId="9" hidden="1"/>
    <cellStyle name="Följd hyperlänk" xfId="145" builtinId="9" hidden="1"/>
    <cellStyle name="Följd hyperlänk" xfId="147" builtinId="9" hidden="1"/>
    <cellStyle name="Följd hyperlänk" xfId="149" builtinId="9" hidden="1"/>
    <cellStyle name="Följd hyperlänk" xfId="151" builtinId="9" hidden="1"/>
    <cellStyle name="Följd hyperlänk" xfId="153" builtinId="9" hidden="1"/>
    <cellStyle name="Följd hyperlänk" xfId="155" builtinId="9" hidden="1"/>
    <cellStyle name="Följd hyperlänk" xfId="157" builtinId="9" hidden="1"/>
    <cellStyle name="Följd hyperlänk" xfId="159" builtinId="9" hidden="1"/>
    <cellStyle name="Följd hyperlänk" xfId="161" builtinId="9" hidden="1"/>
    <cellStyle name="Följd hyperlänk" xfId="163" builtinId="9" hidden="1"/>
    <cellStyle name="Följd hyperlänk" xfId="165" builtinId="9" hidden="1"/>
    <cellStyle name="Följd hyperlänk" xfId="167" builtinId="9" hidden="1"/>
    <cellStyle name="Följd hyperlänk" xfId="169" builtinId="9" hidden="1"/>
    <cellStyle name="Följd hyperlänk" xfId="171" builtinId="9" hidden="1"/>
    <cellStyle name="Följd hyperlänk" xfId="173" builtinId="9" hidden="1"/>
    <cellStyle name="Följd hyperlänk" xfId="175" builtinId="9" hidden="1"/>
    <cellStyle name="Följd hyperlänk" xfId="177" builtinId="9" hidden="1"/>
    <cellStyle name="Följd hyperlänk" xfId="179" builtinId="9" hidden="1"/>
    <cellStyle name="Följd hyperlänk" xfId="181" builtinId="9" hidden="1"/>
    <cellStyle name="Följd hyperlänk" xfId="183" builtinId="9" hidden="1"/>
    <cellStyle name="Följd hyperlänk" xfId="185" builtinId="9" hidden="1"/>
    <cellStyle name="Följd hyperlänk" xfId="187" builtinId="9" hidden="1"/>
    <cellStyle name="Följd hyperlänk" xfId="189" builtinId="9" hidden="1"/>
    <cellStyle name="Följd hyperlänk" xfId="191" builtinId="9" hidden="1"/>
    <cellStyle name="Följd hyperlänk" xfId="193" builtinId="9" hidden="1"/>
    <cellStyle name="Följd hyperlänk" xfId="195" builtinId="9" hidden="1"/>
    <cellStyle name="Följd hyperlänk" xfId="197" builtinId="9" hidden="1"/>
    <cellStyle name="Följd hyperlänk" xfId="199" builtinId="9" hidden="1"/>
    <cellStyle name="Följd hyperlänk" xfId="201" builtinId="9" hidden="1"/>
    <cellStyle name="Följd hyperlänk" xfId="203" builtinId="9" hidden="1"/>
    <cellStyle name="Följd hyperlänk" xfId="205" builtinId="9" hidden="1"/>
    <cellStyle name="Följd hyperlänk" xfId="207" builtinId="9" hidden="1"/>
    <cellStyle name="Följd hyperlänk" xfId="209" builtinId="9" hidden="1"/>
    <cellStyle name="Följd hyperlänk" xfId="211" builtinId="9" hidden="1"/>
    <cellStyle name="Följd hyperlänk" xfId="213" builtinId="9" hidden="1"/>
    <cellStyle name="Följd hyperlänk" xfId="215" builtinId="9" hidden="1"/>
    <cellStyle name="Följd hyperlänk" xfId="217" builtinId="9" hidden="1"/>
    <cellStyle name="Följd hyperlänk" xfId="219" builtinId="9" hidden="1"/>
    <cellStyle name="Följd hyperlänk" xfId="221" builtinId="9" hidden="1"/>
    <cellStyle name="Följd hyperlänk" xfId="223" builtinId="9" hidden="1"/>
    <cellStyle name="Följd hyperlänk" xfId="225" builtinId="9" hidden="1"/>
    <cellStyle name="Följd hyperlänk" xfId="227" builtinId="9" hidden="1"/>
    <cellStyle name="Följd hyperlänk" xfId="229" builtinId="9" hidden="1"/>
    <cellStyle name="Följd hyperlänk" xfId="231" builtinId="9" hidden="1"/>
    <cellStyle name="Följd hyperlänk" xfId="233" builtinId="9" hidden="1"/>
    <cellStyle name="Följd hyperlänk" xfId="235" builtinId="9" hidden="1"/>
    <cellStyle name="Följd hyperlänk" xfId="237" builtinId="9" hidden="1"/>
    <cellStyle name="Följd hyperlänk" xfId="239" builtinId="9" hidden="1"/>
    <cellStyle name="Följd hyperlänk" xfId="241" builtinId="9" hidden="1"/>
    <cellStyle name="Följd hyperlänk" xfId="243" builtinId="9" hidden="1"/>
    <cellStyle name="Följd hyperlänk" xfId="245" builtinId="9" hidden="1"/>
    <cellStyle name="Följd hyperlänk" xfId="247" builtinId="9" hidden="1"/>
    <cellStyle name="Följd hyperlänk" xfId="249" builtinId="9" hidden="1"/>
    <cellStyle name="Följd hyperlänk" xfId="251" builtinId="9" hidden="1"/>
    <cellStyle name="Följd hyperlänk" xfId="253" builtinId="9" hidden="1"/>
    <cellStyle name="Följd hyperlänk" xfId="255" builtinId="9" hidden="1"/>
    <cellStyle name="Följd hyperlänk" xfId="257" builtinId="9" hidden="1"/>
    <cellStyle name="Följd hyperlänk" xfId="259" builtinId="9" hidden="1"/>
    <cellStyle name="Följd hyperlänk" xfId="261" builtinId="9" hidden="1"/>
    <cellStyle name="Följd hyperlänk" xfId="263" builtinId="9" hidden="1"/>
    <cellStyle name="Följd hyperlänk" xfId="265" builtinId="9" hidden="1"/>
    <cellStyle name="Följd hyperlänk" xfId="267" builtinId="9" hidden="1"/>
    <cellStyle name="Följd hyperlänk" xfId="269" builtinId="9" hidden="1"/>
    <cellStyle name="Följd hyperlänk" xfId="271" builtinId="9" hidden="1"/>
    <cellStyle name="Följd hyperlänk" xfId="273" builtinId="9" hidden="1"/>
    <cellStyle name="Följd hyperlänk" xfId="275" builtinId="9" hidden="1"/>
    <cellStyle name="Hyperlänk" xfId="2" builtinId="8" hidden="1"/>
    <cellStyle name="Hyperlänk" xfId="4" builtinId="8" hidden="1"/>
    <cellStyle name="Hyperlänk" xfId="6" builtinId="8" hidden="1"/>
    <cellStyle name="Hyperlänk" xfId="8" builtinId="8" hidden="1"/>
    <cellStyle name="Hyperlänk" xfId="10" builtinId="8" hidden="1"/>
    <cellStyle name="Hyperlänk" xfId="12" builtinId="8" hidden="1"/>
    <cellStyle name="Hyperlänk" xfId="14" builtinId="8" hidden="1"/>
    <cellStyle name="Hyperlänk" xfId="16" builtinId="8" hidden="1"/>
    <cellStyle name="Hyperlänk" xfId="18" builtinId="8" hidden="1"/>
    <cellStyle name="Hyperlänk" xfId="20" builtinId="8" hidden="1"/>
    <cellStyle name="Hyperlänk" xfId="22" builtinId="8" hidden="1"/>
    <cellStyle name="Hyperlänk" xfId="24" builtinId="8" hidden="1"/>
    <cellStyle name="Hyperlänk" xfId="26" builtinId="8" hidden="1"/>
    <cellStyle name="Hyperlänk" xfId="28" builtinId="8" hidden="1"/>
    <cellStyle name="Hyperlänk" xfId="30" builtinId="8" hidden="1"/>
    <cellStyle name="Hyperlänk" xfId="32" builtinId="8" hidden="1"/>
    <cellStyle name="Hyperlänk" xfId="34" builtinId="8" hidden="1"/>
    <cellStyle name="Hyperlänk" xfId="36" builtinId="8" hidden="1"/>
    <cellStyle name="Hyperlänk" xfId="38" builtinId="8" hidden="1"/>
    <cellStyle name="Hyperlänk" xfId="40" builtinId="8" hidden="1"/>
    <cellStyle name="Hyperlänk" xfId="42" builtinId="8" hidden="1"/>
    <cellStyle name="Hyperlänk" xfId="44" builtinId="8" hidden="1"/>
    <cellStyle name="Hyperlänk" xfId="46" builtinId="8" hidden="1"/>
    <cellStyle name="Hyperlänk" xfId="48" builtinId="8" hidden="1"/>
    <cellStyle name="Hyperlänk" xfId="50" builtinId="8" hidden="1"/>
    <cellStyle name="Hyperlänk" xfId="52" builtinId="8" hidden="1"/>
    <cellStyle name="Hyperlänk" xfId="54" builtinId="8" hidden="1"/>
    <cellStyle name="Hyperlänk" xfId="56" builtinId="8" hidden="1"/>
    <cellStyle name="Hyperlänk" xfId="58" builtinId="8" hidden="1"/>
    <cellStyle name="Hyperlänk" xfId="60" builtinId="8" hidden="1"/>
    <cellStyle name="Hyperlänk" xfId="62" builtinId="8" hidden="1"/>
    <cellStyle name="Hyperlänk" xfId="64" builtinId="8" hidden="1"/>
    <cellStyle name="Hyperlänk" xfId="66" builtinId="8" hidden="1"/>
    <cellStyle name="Hyperlänk" xfId="68" builtinId="8" hidden="1"/>
    <cellStyle name="Hyperlänk" xfId="70" builtinId="8" hidden="1"/>
    <cellStyle name="Hyperlänk" xfId="72" builtinId="8" hidden="1"/>
    <cellStyle name="Hyperlänk" xfId="74" builtinId="8" hidden="1"/>
    <cellStyle name="Hyperlänk" xfId="76" builtinId="8" hidden="1"/>
    <cellStyle name="Hyperlänk" xfId="78" builtinId="8" hidden="1"/>
    <cellStyle name="Hyperlänk" xfId="80" builtinId="8" hidden="1"/>
    <cellStyle name="Hyperlänk" xfId="82" builtinId="8" hidden="1"/>
    <cellStyle name="Hyperlänk" xfId="84" builtinId="8" hidden="1"/>
    <cellStyle name="Hyperlänk" xfId="86" builtinId="8" hidden="1"/>
    <cellStyle name="Hyperlänk" xfId="88" builtinId="8" hidden="1"/>
    <cellStyle name="Hyperlänk" xfId="90" builtinId="8" hidden="1"/>
    <cellStyle name="Hyperlänk" xfId="92" builtinId="8" hidden="1"/>
    <cellStyle name="Hyperlänk" xfId="94" builtinId="8" hidden="1"/>
    <cellStyle name="Hyperlänk" xfId="96" builtinId="8" hidden="1"/>
    <cellStyle name="Hyperlänk" xfId="98" builtinId="8" hidden="1"/>
    <cellStyle name="Hyperlänk" xfId="100" builtinId="8" hidden="1"/>
    <cellStyle name="Hyperlänk" xfId="102" builtinId="8" hidden="1"/>
    <cellStyle name="Hyperlänk" xfId="104" builtinId="8" hidden="1"/>
    <cellStyle name="Hyperlänk" xfId="106" builtinId="8" hidden="1"/>
    <cellStyle name="Hyperlänk" xfId="108" builtinId="8" hidden="1"/>
    <cellStyle name="Hyperlänk" xfId="110" builtinId="8" hidden="1"/>
    <cellStyle name="Hyperlänk" xfId="112" builtinId="8" hidden="1"/>
    <cellStyle name="Hyperlänk" xfId="114" builtinId="8" hidden="1"/>
    <cellStyle name="Hyperlänk" xfId="116" builtinId="8" hidden="1"/>
    <cellStyle name="Hyperlänk" xfId="118" builtinId="8" hidden="1"/>
    <cellStyle name="Hyperlänk" xfId="120" builtinId="8" hidden="1"/>
    <cellStyle name="Hyperlänk" xfId="122" builtinId="8" hidden="1"/>
    <cellStyle name="Hyperlänk" xfId="124" builtinId="8" hidden="1"/>
    <cellStyle name="Hyperlänk" xfId="126" builtinId="8" hidden="1"/>
    <cellStyle name="Hyperlänk" xfId="128" builtinId="8" hidden="1"/>
    <cellStyle name="Hyperlänk" xfId="130" builtinId="8" hidden="1"/>
    <cellStyle name="Hyperlänk" xfId="132" builtinId="8" hidden="1"/>
    <cellStyle name="Hyperlänk" xfId="134" builtinId="8" hidden="1"/>
    <cellStyle name="Hyperlänk" xfId="136" builtinId="8" hidden="1"/>
    <cellStyle name="Hyperlänk" xfId="138" builtinId="8" hidden="1"/>
    <cellStyle name="Hyperlänk" xfId="140" builtinId="8" hidden="1"/>
    <cellStyle name="Hyperlänk" xfId="142" builtinId="8" hidden="1"/>
    <cellStyle name="Hyperlänk" xfId="144" builtinId="8" hidden="1"/>
    <cellStyle name="Hyperlänk" xfId="146" builtinId="8" hidden="1"/>
    <cellStyle name="Hyperlänk" xfId="148" builtinId="8" hidden="1"/>
    <cellStyle name="Hyperlänk" xfId="150" builtinId="8" hidden="1"/>
    <cellStyle name="Hyperlänk" xfId="152" builtinId="8" hidden="1"/>
    <cellStyle name="Hyperlänk" xfId="154" builtinId="8" hidden="1"/>
    <cellStyle name="Hyperlänk" xfId="156" builtinId="8" hidden="1"/>
    <cellStyle name="Hyperlänk" xfId="158" builtinId="8" hidden="1"/>
    <cellStyle name="Hyperlänk" xfId="160" builtinId="8" hidden="1"/>
    <cellStyle name="Hyperlänk" xfId="162" builtinId="8" hidden="1"/>
    <cellStyle name="Hyperlänk" xfId="164" builtinId="8" hidden="1"/>
    <cellStyle name="Hyperlänk" xfId="166" builtinId="8" hidden="1"/>
    <cellStyle name="Hyperlänk" xfId="168" builtinId="8" hidden="1"/>
    <cellStyle name="Hyperlänk" xfId="170" builtinId="8" hidden="1"/>
    <cellStyle name="Hyperlänk" xfId="172" builtinId="8" hidden="1"/>
    <cellStyle name="Hyperlänk" xfId="174" builtinId="8" hidden="1"/>
    <cellStyle name="Hyperlänk" xfId="176" builtinId="8" hidden="1"/>
    <cellStyle name="Hyperlänk" xfId="178" builtinId="8" hidden="1"/>
    <cellStyle name="Hyperlänk" xfId="180" builtinId="8" hidden="1"/>
    <cellStyle name="Hyperlänk" xfId="182" builtinId="8" hidden="1"/>
    <cellStyle name="Hyperlänk" xfId="184" builtinId="8" hidden="1"/>
    <cellStyle name="Hyperlänk" xfId="186" builtinId="8" hidden="1"/>
    <cellStyle name="Hyperlänk" xfId="188" builtinId="8" hidden="1"/>
    <cellStyle name="Hyperlänk" xfId="190" builtinId="8" hidden="1"/>
    <cellStyle name="Hyperlänk" xfId="192" builtinId="8" hidden="1"/>
    <cellStyle name="Hyperlänk" xfId="194" builtinId="8" hidden="1"/>
    <cellStyle name="Hyperlänk" xfId="196" builtinId="8" hidden="1"/>
    <cellStyle name="Hyperlänk" xfId="198" builtinId="8" hidden="1"/>
    <cellStyle name="Hyperlänk" xfId="200" builtinId="8" hidden="1"/>
    <cellStyle name="Hyperlänk" xfId="202" builtinId="8" hidden="1"/>
    <cellStyle name="Hyperlänk" xfId="204" builtinId="8" hidden="1"/>
    <cellStyle name="Hyperlänk" xfId="206" builtinId="8" hidden="1"/>
    <cellStyle name="Hyperlänk" xfId="208" builtinId="8" hidden="1"/>
    <cellStyle name="Hyperlänk" xfId="210" builtinId="8" hidden="1"/>
    <cellStyle name="Hyperlänk" xfId="212" builtinId="8" hidden="1"/>
    <cellStyle name="Hyperlänk" xfId="214" builtinId="8" hidden="1"/>
    <cellStyle name="Hyperlänk" xfId="216" builtinId="8" hidden="1"/>
    <cellStyle name="Hyperlänk" xfId="218" builtinId="8" hidden="1"/>
    <cellStyle name="Hyperlänk" xfId="220" builtinId="8" hidden="1"/>
    <cellStyle name="Hyperlänk" xfId="222" builtinId="8" hidden="1"/>
    <cellStyle name="Hyperlänk" xfId="224" builtinId="8" hidden="1"/>
    <cellStyle name="Hyperlänk" xfId="226" builtinId="8" hidden="1"/>
    <cellStyle name="Hyperlänk" xfId="228" builtinId="8" hidden="1"/>
    <cellStyle name="Hyperlänk" xfId="230" builtinId="8" hidden="1"/>
    <cellStyle name="Hyperlänk" xfId="232" builtinId="8" hidden="1"/>
    <cellStyle name="Hyperlänk" xfId="234" builtinId="8" hidden="1"/>
    <cellStyle name="Hyperlänk" xfId="236" builtinId="8" hidden="1"/>
    <cellStyle name="Hyperlänk" xfId="238" builtinId="8" hidden="1"/>
    <cellStyle name="Hyperlänk" xfId="240" builtinId="8" hidden="1"/>
    <cellStyle name="Hyperlänk" xfId="242" builtinId="8" hidden="1"/>
    <cellStyle name="Hyperlänk" xfId="244" builtinId="8" hidden="1"/>
    <cellStyle name="Hyperlänk" xfId="246" builtinId="8" hidden="1"/>
    <cellStyle name="Hyperlänk" xfId="248" builtinId="8" hidden="1"/>
    <cellStyle name="Hyperlänk" xfId="250" builtinId="8" hidden="1"/>
    <cellStyle name="Hyperlänk" xfId="252" builtinId="8" hidden="1"/>
    <cellStyle name="Hyperlänk" xfId="254" builtinId="8" hidden="1"/>
    <cellStyle name="Hyperlänk" xfId="256" builtinId="8" hidden="1"/>
    <cellStyle name="Hyperlänk" xfId="258" builtinId="8" hidden="1"/>
    <cellStyle name="Hyperlänk" xfId="260" builtinId="8" hidden="1"/>
    <cellStyle name="Hyperlänk" xfId="262" builtinId="8" hidden="1"/>
    <cellStyle name="Hyperlänk" xfId="264" builtinId="8" hidden="1"/>
    <cellStyle name="Hyperlänk" xfId="266" builtinId="8" hidden="1"/>
    <cellStyle name="Hyperlänk" xfId="268" builtinId="8" hidden="1"/>
    <cellStyle name="Hyperlänk" xfId="270" builtinId="8" hidden="1"/>
    <cellStyle name="Hyperlänk" xfId="272" builtinId="8" hidden="1"/>
    <cellStyle name="Hyperlänk" xfId="274" builtinId="8" hidden="1"/>
    <cellStyle name="Normal" xfId="0" builtinId="0"/>
    <cellStyle name="Pro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workbookViewId="0">
      <selection activeCell="C38" sqref="C38"/>
    </sheetView>
  </sheetViews>
  <sheetFormatPr baseColWidth="10" defaultRowHeight="15" x14ac:dyDescent="0"/>
  <cols>
    <col min="1" max="1" width="44.6640625" style="1" customWidth="1"/>
    <col min="2" max="2" width="26" customWidth="1"/>
    <col min="3" max="3" width="26.1640625" customWidth="1"/>
    <col min="4" max="4" width="21.33203125" customWidth="1"/>
    <col min="8" max="8" width="11.1640625" bestFit="1" customWidth="1"/>
  </cols>
  <sheetData>
    <row r="1" spans="1:8" ht="17">
      <c r="A1" s="3" t="s">
        <v>0</v>
      </c>
      <c r="B1" s="5"/>
      <c r="C1" s="5"/>
      <c r="D1" s="5"/>
    </row>
    <row r="2" spans="1:8">
      <c r="A2" s="4"/>
      <c r="B2" s="5"/>
      <c r="C2" s="5"/>
      <c r="D2" s="5"/>
    </row>
    <row r="3" spans="1:8" ht="34">
      <c r="B3" s="6" t="s">
        <v>6</v>
      </c>
      <c r="C3" s="6" t="s">
        <v>9</v>
      </c>
      <c r="D3" s="6" t="s">
        <v>7</v>
      </c>
    </row>
    <row r="4" spans="1:8" ht="17">
      <c r="A4" s="3" t="s">
        <v>1</v>
      </c>
      <c r="B4" s="5"/>
      <c r="C4" s="5"/>
      <c r="D4" s="5"/>
    </row>
    <row r="5" spans="1:8" ht="17">
      <c r="A5" s="3"/>
      <c r="B5" s="5"/>
      <c r="C5" s="5"/>
      <c r="D5" s="5"/>
    </row>
    <row r="6" spans="1:8">
      <c r="A6" s="9" t="s">
        <v>2</v>
      </c>
      <c r="B6" s="7" t="e">
        <v>#NAME?</v>
      </c>
      <c r="C6" s="7">
        <v>24400000</v>
      </c>
      <c r="D6" s="7">
        <v>33300000</v>
      </c>
    </row>
    <row r="7" spans="1:8">
      <c r="A7" s="9" t="s">
        <v>3</v>
      </c>
      <c r="B7" s="7">
        <f>Operational_budget_2013!C36</f>
        <v>6656000</v>
      </c>
      <c r="C7" s="7">
        <v>8256000</v>
      </c>
      <c r="D7" s="7">
        <v>8256000</v>
      </c>
    </row>
    <row r="8" spans="1:8">
      <c r="A8" s="4"/>
      <c r="B8" s="7"/>
      <c r="C8" s="7"/>
      <c r="D8" s="7"/>
    </row>
    <row r="9" spans="1:8" ht="17">
      <c r="A9" s="3" t="s">
        <v>4</v>
      </c>
      <c r="B9" s="7" t="e">
        <f>SUM(B4:B8)</f>
        <v>#NAME?</v>
      </c>
      <c r="C9" s="7">
        <f>SUM(C4:C8)</f>
        <v>32656000</v>
      </c>
      <c r="D9" s="7">
        <f>SUM(D4:D8)</f>
        <v>41556000</v>
      </c>
    </row>
    <row r="10" spans="1:8">
      <c r="A10" s="4"/>
      <c r="B10" s="7"/>
      <c r="C10" s="7"/>
      <c r="D10" s="7"/>
    </row>
    <row r="11" spans="1:8">
      <c r="A11" s="4"/>
      <c r="B11" s="7"/>
      <c r="C11" s="7"/>
      <c r="D11" s="7"/>
    </row>
    <row r="12" spans="1:8" ht="17">
      <c r="A12" s="3" t="s">
        <v>5</v>
      </c>
      <c r="B12" s="7"/>
      <c r="C12" s="7"/>
      <c r="D12" s="7"/>
    </row>
    <row r="13" spans="1:8">
      <c r="A13" s="4"/>
      <c r="B13" s="7"/>
      <c r="C13" s="7"/>
      <c r="D13" s="7"/>
    </row>
    <row r="14" spans="1:8" ht="17">
      <c r="A14" s="3" t="s">
        <v>71</v>
      </c>
      <c r="B14" s="7"/>
      <c r="C14" s="7"/>
      <c r="D14" s="7"/>
    </row>
    <row r="15" spans="1:8" ht="30">
      <c r="A15" s="4" t="s">
        <v>73</v>
      </c>
      <c r="B15" s="7">
        <f>Operational_budget_2013!C49</f>
        <v>2007419.1770830066</v>
      </c>
      <c r="C15" s="7">
        <v>4000000</v>
      </c>
      <c r="D15" s="7">
        <v>4000000</v>
      </c>
    </row>
    <row r="16" spans="1:8" ht="30">
      <c r="A16" s="4" t="s">
        <v>74</v>
      </c>
      <c r="B16" s="7">
        <f>Operational_budget_2013!C57</f>
        <v>838789.86198366608</v>
      </c>
      <c r="C16" s="7">
        <v>1800000</v>
      </c>
      <c r="D16" s="7">
        <v>2500000</v>
      </c>
      <c r="H16" s="18"/>
    </row>
    <row r="17" spans="1:4" ht="30">
      <c r="A17" s="4" t="s">
        <v>70</v>
      </c>
      <c r="B17" s="7">
        <f>Operational_budget_2013!C71</f>
        <v>16735431.655669859</v>
      </c>
      <c r="C17" s="7">
        <v>20000000</v>
      </c>
      <c r="D17" s="7">
        <v>28000000</v>
      </c>
    </row>
    <row r="18" spans="1:4">
      <c r="A18" s="4"/>
      <c r="B18" s="7"/>
      <c r="C18" s="7"/>
      <c r="D18" s="7"/>
    </row>
    <row r="19" spans="1:4" ht="17">
      <c r="A19" s="8" t="s">
        <v>72</v>
      </c>
    </row>
    <row r="20" spans="1:4">
      <c r="A20" s="36" t="s">
        <v>21</v>
      </c>
      <c r="B20" s="7" t="e">
        <f>Operational_budget_2013!#REF!</f>
        <v>#REF!</v>
      </c>
      <c r="C20" s="7">
        <v>2000000</v>
      </c>
      <c r="D20" s="7">
        <v>2000000</v>
      </c>
    </row>
    <row r="21" spans="1:4">
      <c r="A21" s="4"/>
      <c r="B21" s="7"/>
      <c r="C21" s="7"/>
      <c r="D21" s="7"/>
    </row>
    <row r="22" spans="1:4">
      <c r="A22" s="4" t="s">
        <v>18</v>
      </c>
      <c r="B22" s="7" t="e">
        <f>Operational_budget_2013!#REF!</f>
        <v>#REF!</v>
      </c>
      <c r="C22" s="7">
        <v>1500000</v>
      </c>
      <c r="D22" s="7">
        <v>1500000</v>
      </c>
    </row>
    <row r="23" spans="1:4">
      <c r="A23" s="4"/>
      <c r="B23" s="7"/>
      <c r="C23" s="7"/>
      <c r="D23" s="7"/>
    </row>
    <row r="24" spans="1:4">
      <c r="A24" s="1" t="s">
        <v>19</v>
      </c>
      <c r="B24" s="7" t="e">
        <f>Operational_budget_2013!#REF!</f>
        <v>#REF!</v>
      </c>
      <c r="C24" s="7">
        <v>1700000</v>
      </c>
      <c r="D24" s="7">
        <v>1700000</v>
      </c>
    </row>
    <row r="25" spans="1:4" ht="17">
      <c r="A25" s="8"/>
      <c r="B25" s="7"/>
      <c r="C25" s="7"/>
      <c r="D25" s="7"/>
    </row>
    <row r="26" spans="1:4">
      <c r="A26" s="36" t="s">
        <v>20</v>
      </c>
      <c r="B26" s="7" t="e">
        <f>Operational_budget_2013!#REF!</f>
        <v>#REF!</v>
      </c>
      <c r="C26" s="7">
        <v>1600000</v>
      </c>
      <c r="D26" s="7">
        <v>1800000</v>
      </c>
    </row>
    <row r="27" spans="1:4" ht="17">
      <c r="A27" s="8"/>
      <c r="B27" s="7"/>
      <c r="C27" s="7"/>
      <c r="D27" s="7"/>
    </row>
    <row r="28" spans="1:4" ht="17">
      <c r="A28" s="8"/>
      <c r="B28" s="7"/>
      <c r="C28" s="7"/>
      <c r="D28" s="7"/>
    </row>
    <row r="29" spans="1:4" ht="17">
      <c r="A29" s="8"/>
      <c r="B29" s="7"/>
      <c r="C29" s="7"/>
      <c r="D29" s="7"/>
    </row>
    <row r="30" spans="1:4" ht="17">
      <c r="A30" s="8"/>
      <c r="B30" s="7"/>
      <c r="C30" s="7"/>
      <c r="D30" s="7"/>
    </row>
    <row r="31" spans="1:4" ht="17">
      <c r="A31" s="8"/>
      <c r="B31" s="7"/>
      <c r="C31" s="7"/>
      <c r="D31" s="7"/>
    </row>
    <row r="32" spans="1:4">
      <c r="A32" s="4"/>
      <c r="B32" s="7"/>
      <c r="C32" s="7"/>
      <c r="D32" s="7"/>
    </row>
    <row r="33" spans="1:4" ht="17">
      <c r="A33" s="3" t="s">
        <v>8</v>
      </c>
      <c r="B33" s="7" t="e">
        <f>SUM(B15:B32)</f>
        <v>#REF!</v>
      </c>
      <c r="C33" s="7">
        <f>SUM(C15:C32)</f>
        <v>32600000</v>
      </c>
      <c r="D33" s="7">
        <f>SUM(D15:D32)</f>
        <v>41500000</v>
      </c>
    </row>
    <row r="34" spans="1:4">
      <c r="A34" s="4"/>
      <c r="B34" s="7"/>
      <c r="C34" s="5"/>
      <c r="D34" s="5"/>
    </row>
    <row r="35" spans="1:4" ht="17">
      <c r="A35" s="63" t="s">
        <v>15</v>
      </c>
      <c r="B35" s="7" t="e">
        <f>SUM(B9-B33)</f>
        <v>#NAME?</v>
      </c>
      <c r="C35" s="7">
        <f>SUM(C9-C33)</f>
        <v>56000</v>
      </c>
      <c r="D35" s="7">
        <f>SUM(D9-D33)</f>
        <v>56000</v>
      </c>
    </row>
    <row r="36" spans="1:4">
      <c r="A36" s="4"/>
      <c r="B36" s="7"/>
      <c r="C36" s="5"/>
      <c r="D36" s="5"/>
    </row>
    <row r="37" spans="1:4">
      <c r="B37" s="2"/>
    </row>
    <row r="38" spans="1:4">
      <c r="B38" s="2"/>
    </row>
  </sheetData>
  <phoneticPr fontId="1" type="noConversion"/>
  <pageMargins left="0.75" right="0.75" top="1" bottom="1" header="0.5" footer="0.5"/>
  <pageSetup paperSize="9" scale="68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45"/>
  <sheetViews>
    <sheetView workbookViewId="0">
      <selection activeCell="A32" sqref="A32"/>
    </sheetView>
  </sheetViews>
  <sheetFormatPr baseColWidth="10" defaultRowHeight="15" x14ac:dyDescent="0"/>
  <cols>
    <col min="1" max="1" width="31.5" style="41" customWidth="1"/>
    <col min="2" max="2" width="52.33203125" style="209" customWidth="1"/>
    <col min="3" max="3" width="23.1640625" customWidth="1"/>
    <col min="4" max="16" width="20.1640625" customWidth="1"/>
    <col min="17" max="17" width="21.6640625" customWidth="1"/>
    <col min="19" max="19" width="16.5" customWidth="1"/>
  </cols>
  <sheetData>
    <row r="1" spans="1:20" ht="30" customHeight="1">
      <c r="A1" s="423" t="s">
        <v>237</v>
      </c>
      <c r="B1" s="423"/>
    </row>
    <row r="3" spans="1:20">
      <c r="A3" s="10" t="s">
        <v>1</v>
      </c>
      <c r="B3" s="234" t="s">
        <v>161</v>
      </c>
      <c r="C3" s="12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20">
      <c r="A4" s="10"/>
      <c r="B4" s="281" t="s">
        <v>10</v>
      </c>
      <c r="C4" s="12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18"/>
    </row>
    <row r="5" spans="1:20">
      <c r="A5" s="19" t="s">
        <v>2</v>
      </c>
      <c r="B5" s="196"/>
      <c r="C5" s="29"/>
      <c r="D5" s="152" t="s">
        <v>99</v>
      </c>
      <c r="E5" s="152" t="s">
        <v>152</v>
      </c>
      <c r="F5" s="152" t="s">
        <v>104</v>
      </c>
      <c r="G5" s="152" t="s">
        <v>100</v>
      </c>
      <c r="H5" s="152" t="s">
        <v>103</v>
      </c>
      <c r="I5" s="152" t="s">
        <v>101</v>
      </c>
      <c r="J5" s="152" t="s">
        <v>102</v>
      </c>
      <c r="K5" s="152" t="s">
        <v>105</v>
      </c>
      <c r="L5" s="152" t="s">
        <v>106</v>
      </c>
      <c r="M5" s="152" t="s">
        <v>107</v>
      </c>
      <c r="N5" s="152" t="s">
        <v>108</v>
      </c>
      <c r="O5" s="152" t="s">
        <v>109</v>
      </c>
      <c r="P5" s="152" t="s">
        <v>110</v>
      </c>
      <c r="R5" s="18"/>
    </row>
    <row r="6" spans="1:20">
      <c r="A6" s="21"/>
      <c r="B6" s="197"/>
      <c r="C6" s="6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122"/>
    </row>
    <row r="7" spans="1:20">
      <c r="A7" s="38"/>
      <c r="B7" s="198"/>
      <c r="C7" s="1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R7" s="18"/>
      <c r="T7" s="18"/>
    </row>
    <row r="8" spans="1:20">
      <c r="A8" s="38"/>
      <c r="B8" s="198"/>
      <c r="C8" s="1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18"/>
      <c r="T8" s="119"/>
    </row>
    <row r="9" spans="1:20">
      <c r="A9" s="42" t="s">
        <v>16</v>
      </c>
      <c r="B9" s="200"/>
      <c r="C9" s="44">
        <f>SUM(C6:C8)</f>
        <v>0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R9" s="18"/>
    </row>
    <row r="10" spans="1:20">
      <c r="A10" s="38"/>
      <c r="B10" s="198"/>
      <c r="C10" s="1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8"/>
    </row>
    <row r="11" spans="1:20">
      <c r="A11" s="39" t="s">
        <v>3</v>
      </c>
      <c r="B11" s="201"/>
      <c r="C11" s="2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8"/>
    </row>
    <row r="12" spans="1:20">
      <c r="A12" s="40"/>
      <c r="B12" s="202"/>
      <c r="C12" s="3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8"/>
    </row>
    <row r="13" spans="1:20">
      <c r="A13" s="38"/>
      <c r="B13" s="235"/>
      <c r="C13" s="15"/>
      <c r="D13" s="5"/>
      <c r="E13" s="5"/>
      <c r="F13" s="5"/>
      <c r="G13" s="5"/>
      <c r="H13" s="5"/>
      <c r="I13" s="5"/>
      <c r="J13" s="5"/>
      <c r="K13" s="5"/>
      <c r="L13" s="5"/>
      <c r="M13" s="5"/>
      <c r="N13" s="173"/>
      <c r="O13" s="5"/>
      <c r="P13" s="5"/>
      <c r="Q13" s="18"/>
    </row>
    <row r="14" spans="1:20">
      <c r="A14" s="38"/>
      <c r="B14" s="203" t="s">
        <v>138</v>
      </c>
      <c r="C14" s="182">
        <v>1375966</v>
      </c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8"/>
    </row>
    <row r="15" spans="1:20">
      <c r="A15" s="38"/>
      <c r="B15" s="198"/>
      <c r="C15" s="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8"/>
    </row>
    <row r="16" spans="1:20">
      <c r="A16" s="42" t="s">
        <v>17</v>
      </c>
      <c r="B16" s="200"/>
      <c r="C16" s="26">
        <f>SUM(C13:C15)</f>
        <v>1375966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18"/>
    </row>
    <row r="17" spans="1:17">
      <c r="A17" s="10"/>
      <c r="B17" s="195"/>
      <c r="C17" s="11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8"/>
    </row>
    <row r="18" spans="1:17">
      <c r="A18" s="24" t="s">
        <v>14</v>
      </c>
      <c r="B18" s="204"/>
      <c r="C18" s="26">
        <f>SUM(C9+C16)</f>
        <v>1375966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18"/>
    </row>
    <row r="19" spans="1:17">
      <c r="A19" s="10"/>
      <c r="B19" s="195"/>
      <c r="C19" s="11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8"/>
    </row>
    <row r="20" spans="1:17">
      <c r="A20" s="21"/>
      <c r="B20" s="208"/>
      <c r="C20" s="157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8"/>
    </row>
    <row r="21" spans="1:17">
      <c r="A21" s="32" t="s">
        <v>5</v>
      </c>
      <c r="B21" s="205"/>
      <c r="C21" s="158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8"/>
    </row>
    <row r="22" spans="1:17">
      <c r="A22" s="56"/>
      <c r="B22" s="236"/>
      <c r="C22" s="159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8"/>
    </row>
    <row r="23" spans="1:17">
      <c r="A23" s="58" t="s">
        <v>165</v>
      </c>
      <c r="B23" s="196"/>
      <c r="C23" s="155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18"/>
    </row>
    <row r="24" spans="1:17">
      <c r="A24" s="183"/>
      <c r="B24" s="208"/>
      <c r="C24" s="184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8"/>
    </row>
    <row r="25" spans="1:17">
      <c r="A25" s="174"/>
      <c r="B25" s="210" t="s">
        <v>162</v>
      </c>
      <c r="C25" s="240">
        <f>1000*Staff_and_Office_2013!B62</f>
        <v>795966.20661222027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8"/>
    </row>
    <row r="26" spans="1:17">
      <c r="A26" s="38"/>
      <c r="B26" s="237" t="s">
        <v>85</v>
      </c>
      <c r="C26" s="194">
        <v>50000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8"/>
    </row>
    <row r="27" spans="1:17">
      <c r="A27" s="38"/>
      <c r="B27" s="237" t="s">
        <v>124</v>
      </c>
      <c r="C27" s="194">
        <v>50000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8"/>
    </row>
    <row r="28" spans="1:17">
      <c r="A28" s="38"/>
      <c r="B28" s="237" t="s">
        <v>84</v>
      </c>
      <c r="C28" s="194">
        <v>100000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8"/>
    </row>
    <row r="29" spans="1:17">
      <c r="A29" s="38"/>
      <c r="B29" s="238"/>
      <c r="C29" s="161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8"/>
    </row>
    <row r="30" spans="1:17">
      <c r="A30" s="38"/>
      <c r="B30" s="237" t="s">
        <v>12</v>
      </c>
      <c r="C30" s="16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8"/>
    </row>
    <row r="31" spans="1:17">
      <c r="A31" s="38"/>
      <c r="B31" s="239" t="s">
        <v>84</v>
      </c>
      <c r="C31" s="153">
        <v>80000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8"/>
    </row>
    <row r="32" spans="1:17">
      <c r="A32" s="38"/>
      <c r="B32" s="239" t="s">
        <v>148</v>
      </c>
      <c r="C32" s="153">
        <v>200000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8"/>
    </row>
    <row r="33" spans="1:17">
      <c r="A33" s="38"/>
      <c r="B33" s="239" t="s">
        <v>124</v>
      </c>
      <c r="C33" s="153">
        <v>100000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8"/>
    </row>
    <row r="34" spans="1:17">
      <c r="A34" s="38"/>
      <c r="B34" s="239" t="s">
        <v>86</v>
      </c>
      <c r="C34" s="154">
        <f>SUM(C31:C33)</f>
        <v>380000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8"/>
    </row>
    <row r="35" spans="1:17">
      <c r="A35" s="38"/>
      <c r="B35" s="239"/>
      <c r="C35" s="15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8"/>
    </row>
    <row r="36" spans="1:17">
      <c r="A36" s="38"/>
      <c r="B36" s="239"/>
      <c r="C36" s="154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8"/>
    </row>
    <row r="37" spans="1:17">
      <c r="A37" s="24" t="s">
        <v>167</v>
      </c>
      <c r="B37" s="204"/>
      <c r="C37" s="149">
        <f>SUM(C25+C26+C27+C28+C34)</f>
        <v>1375966.2066122203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18"/>
    </row>
    <row r="38" spans="1:17">
      <c r="A38" s="10"/>
      <c r="B38" s="17"/>
      <c r="C38" s="154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8"/>
    </row>
    <row r="39" spans="1:17">
      <c r="A39" s="10" t="s">
        <v>15</v>
      </c>
      <c r="B39" s="17"/>
      <c r="C39" s="154">
        <f>SUM(C18-C37)</f>
        <v>-0.2066122202668339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8"/>
    </row>
    <row r="40" spans="1:17">
      <c r="A40" s="38"/>
      <c r="B40" s="199"/>
      <c r="C40" s="15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8"/>
    </row>
    <row r="41" spans="1:17">
      <c r="B41" s="338"/>
    </row>
    <row r="42" spans="1:17">
      <c r="B42" s="337" t="s">
        <v>272</v>
      </c>
    </row>
    <row r="43" spans="1:17">
      <c r="B43" s="337" t="s">
        <v>273</v>
      </c>
    </row>
    <row r="44" spans="1:17">
      <c r="B44" s="337" t="s">
        <v>147</v>
      </c>
    </row>
    <row r="45" spans="1:17">
      <c r="B45" s="337" t="s">
        <v>274</v>
      </c>
    </row>
  </sheetData>
  <mergeCells count="1">
    <mergeCell ref="A1:B1"/>
  </mergeCells>
  <phoneticPr fontId="46" type="noConversion"/>
  <pageMargins left="0.75" right="0.75" top="1" bottom="1" header="0.5" footer="0.5"/>
  <pageSetup paperSize="9" scale="21" fitToHeight="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41"/>
  <sheetViews>
    <sheetView workbookViewId="0">
      <selection activeCell="A27" sqref="A27:A29"/>
    </sheetView>
  </sheetViews>
  <sheetFormatPr baseColWidth="10" defaultRowHeight="15" x14ac:dyDescent="0"/>
  <cols>
    <col min="1" max="1" width="31.5" style="41" customWidth="1"/>
    <col min="2" max="2" width="52.33203125" customWidth="1"/>
    <col min="3" max="3" width="23.1640625" customWidth="1"/>
    <col min="4" max="16" width="20.1640625" customWidth="1"/>
    <col min="17" max="17" width="21.6640625" customWidth="1"/>
    <col min="19" max="19" width="16.5" customWidth="1"/>
  </cols>
  <sheetData>
    <row r="1" spans="1:20" ht="30" customHeight="1">
      <c r="A1" s="423" t="s">
        <v>239</v>
      </c>
      <c r="B1" s="423"/>
    </row>
    <row r="3" spans="1:20">
      <c r="A3" s="10" t="s">
        <v>1</v>
      </c>
      <c r="B3" s="180" t="s">
        <v>161</v>
      </c>
      <c r="C3" s="12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20">
      <c r="A4" s="10"/>
      <c r="B4" s="267" t="s">
        <v>10</v>
      </c>
      <c r="C4" s="12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18"/>
    </row>
    <row r="5" spans="1:20">
      <c r="A5" s="19" t="s">
        <v>2</v>
      </c>
      <c r="B5" s="20"/>
      <c r="C5" s="29"/>
      <c r="D5" s="152" t="s">
        <v>99</v>
      </c>
      <c r="E5" s="152" t="s">
        <v>152</v>
      </c>
      <c r="F5" s="152" t="s">
        <v>104</v>
      </c>
      <c r="G5" s="152" t="s">
        <v>100</v>
      </c>
      <c r="H5" s="152" t="s">
        <v>103</v>
      </c>
      <c r="I5" s="152" t="s">
        <v>101</v>
      </c>
      <c r="J5" s="152" t="s">
        <v>102</v>
      </c>
      <c r="K5" s="152" t="s">
        <v>105</v>
      </c>
      <c r="L5" s="152" t="s">
        <v>106</v>
      </c>
      <c r="M5" s="152" t="s">
        <v>107</v>
      </c>
      <c r="N5" s="152" t="s">
        <v>108</v>
      </c>
      <c r="O5" s="152" t="s">
        <v>109</v>
      </c>
      <c r="P5" s="152" t="s">
        <v>110</v>
      </c>
      <c r="R5" s="18"/>
    </row>
    <row r="6" spans="1:20">
      <c r="A6" s="21"/>
      <c r="B6" s="37"/>
      <c r="C6" s="6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122"/>
    </row>
    <row r="7" spans="1:20">
      <c r="A7" s="38"/>
      <c r="B7" s="5"/>
      <c r="C7" s="1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R7" s="18"/>
      <c r="T7" s="121"/>
    </row>
    <row r="8" spans="1:20">
      <c r="A8" s="38"/>
      <c r="B8" s="13"/>
      <c r="C8" s="1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18"/>
      <c r="T8" s="119"/>
    </row>
    <row r="9" spans="1:20">
      <c r="A9" s="42" t="s">
        <v>16</v>
      </c>
      <c r="B9" s="43"/>
      <c r="C9" s="44">
        <f>SUM(C6:C8)</f>
        <v>0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R9" s="18"/>
    </row>
    <row r="10" spans="1:20">
      <c r="A10" s="38"/>
      <c r="B10" s="13"/>
      <c r="C10" s="1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8"/>
    </row>
    <row r="11" spans="1:20">
      <c r="A11" s="39" t="s">
        <v>3</v>
      </c>
      <c r="B11" s="30"/>
      <c r="C11" s="2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8"/>
    </row>
    <row r="12" spans="1:20">
      <c r="A12" s="40"/>
      <c r="B12" s="35"/>
      <c r="C12" s="3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8"/>
    </row>
    <row r="13" spans="1:20">
      <c r="A13" s="38"/>
      <c r="B13" s="16"/>
      <c r="C13" s="15"/>
      <c r="D13" s="5"/>
      <c r="E13" s="5"/>
      <c r="F13" s="5"/>
      <c r="G13" s="5"/>
      <c r="H13" s="5"/>
      <c r="I13" s="5"/>
      <c r="J13" s="5"/>
      <c r="K13" s="5"/>
      <c r="L13" s="5"/>
      <c r="M13" s="5"/>
      <c r="N13" s="173"/>
      <c r="O13" s="5"/>
      <c r="P13" s="5"/>
      <c r="Q13" s="18"/>
    </row>
    <row r="14" spans="1:20">
      <c r="A14" s="38"/>
      <c r="B14" s="164" t="s">
        <v>138</v>
      </c>
      <c r="C14" s="182">
        <v>1275966</v>
      </c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8"/>
    </row>
    <row r="15" spans="1:20">
      <c r="A15" s="38"/>
      <c r="B15" s="13"/>
      <c r="C15" s="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8"/>
    </row>
    <row r="16" spans="1:20">
      <c r="A16" s="42" t="s">
        <v>17</v>
      </c>
      <c r="B16" s="43"/>
      <c r="C16" s="26">
        <f>SUM(C13:C15)</f>
        <v>1275966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18"/>
    </row>
    <row r="17" spans="1:17">
      <c r="A17" s="10"/>
      <c r="B17" s="11"/>
      <c r="C17" s="11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8"/>
    </row>
    <row r="18" spans="1:17">
      <c r="A18" s="24" t="s">
        <v>14</v>
      </c>
      <c r="B18" s="25"/>
      <c r="C18" s="26">
        <f>SUM(C9+C16)</f>
        <v>1275966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18"/>
    </row>
    <row r="19" spans="1:17">
      <c r="A19" s="10"/>
      <c r="B19" s="11"/>
      <c r="C19" s="11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8"/>
    </row>
    <row r="20" spans="1:17">
      <c r="A20" s="21"/>
      <c r="B20" s="22"/>
      <c r="C20" s="157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8"/>
    </row>
    <row r="21" spans="1:17">
      <c r="A21" s="32" t="s">
        <v>5</v>
      </c>
      <c r="B21" s="33"/>
      <c r="C21" s="158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8"/>
    </row>
    <row r="22" spans="1:17">
      <c r="A22" s="38"/>
      <c r="B22" s="16"/>
      <c r="C22" s="153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8"/>
    </row>
    <row r="23" spans="1:17">
      <c r="A23" s="39" t="s">
        <v>238</v>
      </c>
      <c r="B23" s="31"/>
      <c r="C23" s="162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18"/>
    </row>
    <row r="24" spans="1:17">
      <c r="A24" s="38"/>
      <c r="B24" s="16"/>
      <c r="C24" s="160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8"/>
    </row>
    <row r="25" spans="1:17">
      <c r="A25" s="38"/>
      <c r="B25" s="10" t="s">
        <v>162</v>
      </c>
      <c r="C25" s="194">
        <f>1000*Staff_and_Office_2013!B62</f>
        <v>795966.20661222027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8"/>
    </row>
    <row r="26" spans="1:17">
      <c r="A26" s="38"/>
      <c r="B26" s="185"/>
      <c r="C26" s="16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8"/>
    </row>
    <row r="27" spans="1:17">
      <c r="A27" s="38"/>
      <c r="B27" s="185" t="s">
        <v>82</v>
      </c>
      <c r="C27" s="194">
        <v>300000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8"/>
    </row>
    <row r="28" spans="1:17">
      <c r="A28" s="38"/>
      <c r="B28" s="60"/>
      <c r="C28" s="16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8"/>
    </row>
    <row r="29" spans="1:17">
      <c r="A29" s="38"/>
      <c r="B29" s="185" t="s">
        <v>83</v>
      </c>
      <c r="C29" s="194">
        <v>30000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8"/>
    </row>
    <row r="30" spans="1:17">
      <c r="A30" s="38"/>
      <c r="B30" s="193"/>
      <c r="C30" s="15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8"/>
    </row>
    <row r="31" spans="1:17">
      <c r="A31" s="38"/>
      <c r="B31" s="185" t="s">
        <v>84</v>
      </c>
      <c r="C31" s="154">
        <v>150000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8"/>
    </row>
    <row r="32" spans="1:17">
      <c r="A32" s="38"/>
      <c r="B32" s="185"/>
      <c r="C32" s="153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8"/>
    </row>
    <row r="33" spans="1:17">
      <c r="A33" s="24" t="s">
        <v>166</v>
      </c>
      <c r="B33" s="25"/>
      <c r="C33" s="149">
        <f>SUM(C24:C31)</f>
        <v>1275966.2066122203</v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18"/>
    </row>
    <row r="34" spans="1:17">
      <c r="A34" s="10"/>
      <c r="B34" s="17"/>
      <c r="C34" s="15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8"/>
    </row>
    <row r="35" spans="1:17">
      <c r="A35" s="10" t="s">
        <v>15</v>
      </c>
      <c r="B35" s="17"/>
      <c r="C35" s="154">
        <f>SUM(C18-C33)</f>
        <v>-0.2066122202668339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8"/>
    </row>
    <row r="36" spans="1:17">
      <c r="A36" s="38"/>
      <c r="B36" s="5"/>
      <c r="C36" s="15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8"/>
    </row>
    <row r="37" spans="1:17">
      <c r="B37" s="336"/>
    </row>
    <row r="38" spans="1:17">
      <c r="B38" s="337" t="s">
        <v>272</v>
      </c>
    </row>
    <row r="39" spans="1:17">
      <c r="B39" s="337" t="s">
        <v>273</v>
      </c>
    </row>
    <row r="40" spans="1:17">
      <c r="B40" s="337" t="s">
        <v>147</v>
      </c>
    </row>
    <row r="41" spans="1:17">
      <c r="B41" s="337" t="s">
        <v>274</v>
      </c>
    </row>
  </sheetData>
  <mergeCells count="1">
    <mergeCell ref="A1:B1"/>
  </mergeCells>
  <phoneticPr fontId="46" type="noConversion"/>
  <pageMargins left="0.75" right="0.75" top="1" bottom="1" header="0.5" footer="0.5"/>
  <pageSetup paperSize="9" scale="21" fitToHeight="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38"/>
  <sheetViews>
    <sheetView workbookViewId="0">
      <selection activeCell="C56" sqref="C56"/>
    </sheetView>
  </sheetViews>
  <sheetFormatPr baseColWidth="10" defaultRowHeight="15" x14ac:dyDescent="0"/>
  <cols>
    <col min="1" max="1" width="31.5" style="41" customWidth="1"/>
    <col min="2" max="2" width="52.33203125" customWidth="1"/>
    <col min="3" max="3" width="23.1640625" customWidth="1"/>
    <col min="4" max="16" width="20.1640625" customWidth="1"/>
    <col min="17" max="17" width="21.6640625" customWidth="1"/>
    <col min="19" max="19" width="16.5" customWidth="1"/>
  </cols>
  <sheetData>
    <row r="1" spans="1:20" ht="30" customHeight="1">
      <c r="A1" s="423" t="s">
        <v>241</v>
      </c>
      <c r="B1" s="423"/>
    </row>
    <row r="3" spans="1:20">
      <c r="A3" s="10" t="s">
        <v>1</v>
      </c>
      <c r="B3" s="180" t="s">
        <v>161</v>
      </c>
      <c r="C3" s="12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20">
      <c r="A4" s="10"/>
      <c r="B4" s="267" t="s">
        <v>10</v>
      </c>
      <c r="C4" s="12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18"/>
    </row>
    <row r="5" spans="1:20">
      <c r="A5" s="19" t="s">
        <v>2</v>
      </c>
      <c r="B5" s="20"/>
      <c r="C5" s="29"/>
      <c r="D5" s="152" t="s">
        <v>99</v>
      </c>
      <c r="E5" s="152" t="s">
        <v>152</v>
      </c>
      <c r="F5" s="152" t="s">
        <v>104</v>
      </c>
      <c r="G5" s="152" t="s">
        <v>100</v>
      </c>
      <c r="H5" s="152" t="s">
        <v>103</v>
      </c>
      <c r="I5" s="152" t="s">
        <v>101</v>
      </c>
      <c r="J5" s="152" t="s">
        <v>102</v>
      </c>
      <c r="K5" s="152" t="s">
        <v>105</v>
      </c>
      <c r="L5" s="152" t="s">
        <v>106</v>
      </c>
      <c r="M5" s="152" t="s">
        <v>107</v>
      </c>
      <c r="N5" s="152" t="s">
        <v>108</v>
      </c>
      <c r="O5" s="152" t="s">
        <v>109</v>
      </c>
      <c r="P5" s="152" t="s">
        <v>110</v>
      </c>
      <c r="R5" s="18"/>
    </row>
    <row r="6" spans="1:20">
      <c r="A6" s="21"/>
      <c r="B6" s="37"/>
      <c r="C6" s="6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122"/>
    </row>
    <row r="7" spans="1:20">
      <c r="A7" s="38"/>
      <c r="B7" s="5"/>
      <c r="C7" s="1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R7" s="18"/>
      <c r="T7" s="121"/>
    </row>
    <row r="8" spans="1:20">
      <c r="A8" s="38"/>
      <c r="B8" s="13"/>
      <c r="C8" s="1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18"/>
      <c r="T8" s="119"/>
    </row>
    <row r="9" spans="1:20">
      <c r="A9" s="42" t="s">
        <v>16</v>
      </c>
      <c r="B9" s="43"/>
      <c r="C9" s="44">
        <f>SUM(C6:C8)</f>
        <v>0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R9" s="18"/>
    </row>
    <row r="10" spans="1:20">
      <c r="A10" s="38"/>
      <c r="B10" s="13"/>
      <c r="C10" s="1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8"/>
    </row>
    <row r="11" spans="1:20">
      <c r="A11" s="39" t="s">
        <v>3</v>
      </c>
      <c r="B11" s="30"/>
      <c r="C11" s="2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8"/>
    </row>
    <row r="12" spans="1:20">
      <c r="A12" s="40"/>
      <c r="B12" s="35"/>
      <c r="C12" s="3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8"/>
    </row>
    <row r="13" spans="1:20">
      <c r="A13" s="38"/>
      <c r="B13" s="16"/>
      <c r="C13" s="15"/>
      <c r="D13" s="5"/>
      <c r="E13" s="5"/>
      <c r="F13" s="5"/>
      <c r="G13" s="5"/>
      <c r="H13" s="5"/>
      <c r="I13" s="5"/>
      <c r="J13" s="5"/>
      <c r="K13" s="5"/>
      <c r="L13" s="5"/>
      <c r="M13" s="5"/>
      <c r="N13" s="173"/>
      <c r="O13" s="5"/>
      <c r="P13" s="5"/>
      <c r="Q13" s="18"/>
    </row>
    <row r="14" spans="1:20">
      <c r="A14" s="38"/>
      <c r="B14" s="164" t="s">
        <v>138</v>
      </c>
      <c r="C14" s="182">
        <v>627580</v>
      </c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8"/>
    </row>
    <row r="15" spans="1:20">
      <c r="A15" s="38"/>
      <c r="B15" s="13"/>
      <c r="C15" s="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8"/>
    </row>
    <row r="16" spans="1:20">
      <c r="A16" s="42" t="s">
        <v>17</v>
      </c>
      <c r="B16" s="43"/>
      <c r="C16" s="26">
        <f>SUM(C13:C15)</f>
        <v>627580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18"/>
    </row>
    <row r="17" spans="1:17">
      <c r="A17" s="10"/>
      <c r="B17" s="11"/>
      <c r="C17" s="11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8"/>
    </row>
    <row r="18" spans="1:17">
      <c r="A18" s="24" t="s">
        <v>14</v>
      </c>
      <c r="B18" s="25"/>
      <c r="C18" s="26">
        <f>SUM(C9+C16)</f>
        <v>627580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18"/>
    </row>
    <row r="19" spans="1:17">
      <c r="A19" s="10"/>
      <c r="B19" s="11"/>
      <c r="C19" s="11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8"/>
    </row>
    <row r="20" spans="1:17">
      <c r="A20" s="21"/>
      <c r="B20" s="22"/>
      <c r="C20" s="157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8"/>
    </row>
    <row r="21" spans="1:17">
      <c r="A21" s="32" t="s">
        <v>5</v>
      </c>
      <c r="B21" s="33"/>
      <c r="C21" s="158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8"/>
    </row>
    <row r="22" spans="1:17">
      <c r="A22" s="38"/>
      <c r="B22" s="16"/>
      <c r="C22" s="153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8"/>
    </row>
    <row r="23" spans="1:17">
      <c r="A23" s="58" t="s">
        <v>240</v>
      </c>
      <c r="B23" s="20"/>
      <c r="C23" s="162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18"/>
    </row>
    <row r="24" spans="1:17">
      <c r="A24" s="183"/>
      <c r="B24" s="22"/>
      <c r="C24" s="250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8"/>
    </row>
    <row r="25" spans="1:17">
      <c r="A25" s="38"/>
      <c r="B25" s="10" t="s">
        <v>162</v>
      </c>
      <c r="C25" s="240">
        <f>600*Staff_and_Office_2013!B62</f>
        <v>477579.72396733216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8"/>
    </row>
    <row r="26" spans="1:17">
      <c r="A26" s="38"/>
      <c r="B26" s="60"/>
      <c r="C26" s="16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8"/>
    </row>
    <row r="27" spans="1:17">
      <c r="A27" s="38"/>
      <c r="B27" s="185" t="s">
        <v>124</v>
      </c>
      <c r="C27" s="194">
        <v>100000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8"/>
    </row>
    <row r="28" spans="1:17">
      <c r="A28" s="38"/>
      <c r="B28" s="185"/>
      <c r="C28" s="16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8"/>
    </row>
    <row r="29" spans="1:17">
      <c r="A29" s="38"/>
      <c r="B29" s="185" t="s">
        <v>207</v>
      </c>
      <c r="C29" s="194">
        <v>50000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8"/>
    </row>
    <row r="30" spans="1:17">
      <c r="A30" s="38"/>
      <c r="B30" s="60"/>
      <c r="C30" s="16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8"/>
    </row>
    <row r="31" spans="1:17">
      <c r="A31" s="38"/>
      <c r="B31" s="60"/>
      <c r="C31" s="16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8"/>
    </row>
    <row r="32" spans="1:17">
      <c r="A32" s="38"/>
      <c r="B32" s="16"/>
      <c r="C32" s="160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8"/>
    </row>
    <row r="33" spans="1:17">
      <c r="A33" s="38"/>
      <c r="B33" s="16"/>
      <c r="C33" s="153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8"/>
    </row>
    <row r="34" spans="1:17">
      <c r="A34" s="38"/>
      <c r="B34" s="5"/>
      <c r="C34" s="156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8"/>
    </row>
    <row r="35" spans="1:17">
      <c r="A35" s="24" t="s">
        <v>168</v>
      </c>
      <c r="B35" s="28"/>
      <c r="C35" s="149">
        <f>SUM(C25:C34)</f>
        <v>627579.72396733216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8"/>
    </row>
    <row r="36" spans="1:17">
      <c r="A36" s="38"/>
      <c r="B36" s="5"/>
      <c r="C36" s="15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8"/>
    </row>
    <row r="37" spans="1:17">
      <c r="A37" s="10" t="s">
        <v>15</v>
      </c>
      <c r="B37" s="17"/>
      <c r="C37" s="154">
        <f>SUM(C18-C35)</f>
        <v>0.27603266783989966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8"/>
    </row>
    <row r="38" spans="1:17">
      <c r="A38" s="38"/>
      <c r="B38" s="5"/>
      <c r="C38" s="15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8"/>
    </row>
  </sheetData>
  <mergeCells count="1">
    <mergeCell ref="A1:B1"/>
  </mergeCells>
  <phoneticPr fontId="46" type="noConversion"/>
  <pageMargins left="0.75" right="0.75" top="1" bottom="1" header="0.5" footer="0.5"/>
  <pageSetup paperSize="9" scale="21" fitToHeight="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65"/>
  <sheetViews>
    <sheetView topLeftCell="A17" workbookViewId="0">
      <selection activeCell="D65" sqref="D65"/>
    </sheetView>
  </sheetViews>
  <sheetFormatPr baseColWidth="10" defaultRowHeight="15" x14ac:dyDescent="0"/>
  <cols>
    <col min="1" max="1" width="31.5" style="41" customWidth="1"/>
    <col min="2" max="2" width="52.33203125" style="209" customWidth="1"/>
    <col min="3" max="3" width="23.1640625" customWidth="1"/>
    <col min="4" max="16" width="20.1640625" customWidth="1"/>
    <col min="17" max="17" width="21.6640625" customWidth="1"/>
    <col min="19" max="19" width="16.5" customWidth="1"/>
  </cols>
  <sheetData>
    <row r="1" spans="1:20" ht="30" customHeight="1">
      <c r="A1" s="423" t="s">
        <v>243</v>
      </c>
      <c r="B1" s="423"/>
    </row>
    <row r="3" spans="1:20">
      <c r="A3" s="10" t="s">
        <v>1</v>
      </c>
      <c r="B3" s="234" t="s">
        <v>161</v>
      </c>
      <c r="C3" s="12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20">
      <c r="A4" s="10"/>
      <c r="B4" s="281" t="s">
        <v>10</v>
      </c>
      <c r="C4" s="12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18"/>
    </row>
    <row r="5" spans="1:20">
      <c r="A5" s="19" t="s">
        <v>2</v>
      </c>
      <c r="B5" s="196"/>
      <c r="C5" s="29"/>
      <c r="D5" s="152" t="s">
        <v>99</v>
      </c>
      <c r="E5" s="152" t="s">
        <v>152</v>
      </c>
      <c r="F5" s="152" t="s">
        <v>104</v>
      </c>
      <c r="G5" s="152" t="s">
        <v>100</v>
      </c>
      <c r="H5" s="152" t="s">
        <v>103</v>
      </c>
      <c r="I5" s="152" t="s">
        <v>101</v>
      </c>
      <c r="J5" s="152" t="s">
        <v>102</v>
      </c>
      <c r="K5" s="152" t="s">
        <v>105</v>
      </c>
      <c r="L5" s="152" t="s">
        <v>106</v>
      </c>
      <c r="M5" s="152" t="s">
        <v>107</v>
      </c>
      <c r="N5" s="152" t="s">
        <v>108</v>
      </c>
      <c r="O5" s="152" t="s">
        <v>109</v>
      </c>
      <c r="P5" s="152" t="s">
        <v>110</v>
      </c>
      <c r="R5" s="18"/>
    </row>
    <row r="6" spans="1:20">
      <c r="A6" s="21"/>
      <c r="B6" s="197"/>
      <c r="C6" s="6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122"/>
    </row>
    <row r="7" spans="1:20">
      <c r="A7" s="38"/>
      <c r="B7" s="199"/>
      <c r="C7" s="1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R7" s="18"/>
      <c r="T7" s="121"/>
    </row>
    <row r="8" spans="1:20">
      <c r="A8" s="38"/>
      <c r="B8" s="198"/>
      <c r="C8" s="1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18"/>
      <c r="T8" s="119"/>
    </row>
    <row r="9" spans="1:20">
      <c r="A9" s="42" t="s">
        <v>16</v>
      </c>
      <c r="B9" s="200"/>
      <c r="C9" s="44">
        <f>SUM(C6:C8)</f>
        <v>0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R9" s="18"/>
    </row>
    <row r="10" spans="1:20">
      <c r="A10" s="38"/>
      <c r="B10" s="198"/>
      <c r="C10" s="1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8"/>
    </row>
    <row r="11" spans="1:20">
      <c r="A11" s="39" t="s">
        <v>3</v>
      </c>
      <c r="B11" s="201"/>
      <c r="C11" s="2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8"/>
    </row>
    <row r="12" spans="1:20">
      <c r="A12" s="40"/>
      <c r="B12" s="202"/>
      <c r="C12" s="3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8"/>
    </row>
    <row r="13" spans="1:20">
      <c r="A13" s="38"/>
      <c r="B13" s="235"/>
      <c r="C13" s="15"/>
      <c r="D13" s="5"/>
      <c r="E13" s="5"/>
      <c r="F13" s="5"/>
      <c r="G13" s="5"/>
      <c r="H13" s="5"/>
      <c r="I13" s="5"/>
      <c r="J13" s="5"/>
      <c r="K13" s="5"/>
      <c r="L13" s="5"/>
      <c r="M13" s="5"/>
      <c r="N13" s="173"/>
      <c r="O13" s="5"/>
      <c r="P13" s="5"/>
      <c r="Q13" s="18"/>
    </row>
    <row r="14" spans="1:20">
      <c r="A14" s="38"/>
      <c r="B14" s="203" t="s">
        <v>138</v>
      </c>
      <c r="C14" s="182">
        <v>2077336</v>
      </c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8"/>
    </row>
    <row r="15" spans="1:20">
      <c r="A15" s="38"/>
      <c r="B15" s="198"/>
      <c r="C15" s="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8"/>
    </row>
    <row r="16" spans="1:20">
      <c r="A16" s="42" t="s">
        <v>17</v>
      </c>
      <c r="B16" s="200"/>
      <c r="C16" s="26">
        <f>SUM(C13:C15)</f>
        <v>2077336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18"/>
    </row>
    <row r="17" spans="1:17">
      <c r="A17" s="10"/>
      <c r="B17" s="195"/>
      <c r="C17" s="11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8"/>
    </row>
    <row r="18" spans="1:17">
      <c r="A18" s="24" t="s">
        <v>14</v>
      </c>
      <c r="B18" s="204"/>
      <c r="C18" s="26">
        <f>SUM(C9+C16)</f>
        <v>2077336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18"/>
    </row>
    <row r="19" spans="1:17">
      <c r="A19" s="10"/>
      <c r="B19" s="195"/>
      <c r="C19" s="11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8"/>
    </row>
    <row r="20" spans="1:17">
      <c r="A20" s="21"/>
      <c r="B20" s="208"/>
      <c r="C20" s="157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8"/>
    </row>
    <row r="21" spans="1:17">
      <c r="A21" s="32" t="s">
        <v>5</v>
      </c>
      <c r="B21" s="205"/>
      <c r="C21" s="158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8"/>
    </row>
    <row r="22" spans="1:17">
      <c r="A22" s="38"/>
      <c r="B22" s="199"/>
      <c r="C22" s="156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8"/>
    </row>
    <row r="23" spans="1:17">
      <c r="A23" s="59" t="s">
        <v>242</v>
      </c>
      <c r="B23" s="306"/>
      <c r="C23" s="163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18"/>
    </row>
    <row r="24" spans="1:17">
      <c r="A24" s="187"/>
      <c r="B24" s="307"/>
      <c r="C24" s="184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8"/>
    </row>
    <row r="25" spans="1:17">
      <c r="A25" s="54"/>
      <c r="B25" s="210" t="s">
        <v>162</v>
      </c>
      <c r="C25" s="240">
        <f>1900*Staff_and_Office_2013!B62</f>
        <v>1512335.7925632186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8"/>
    </row>
    <row r="26" spans="1:17">
      <c r="A26" s="54"/>
      <c r="B26" s="237"/>
      <c r="C26" s="16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8"/>
    </row>
    <row r="27" spans="1:17">
      <c r="A27" s="54"/>
      <c r="B27" s="237" t="s">
        <v>82</v>
      </c>
      <c r="C27" s="194">
        <v>120000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8"/>
    </row>
    <row r="28" spans="1:17">
      <c r="A28" s="54"/>
      <c r="B28" s="238"/>
      <c r="C28" s="16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8"/>
    </row>
    <row r="29" spans="1:17">
      <c r="A29" s="54"/>
      <c r="B29" s="237" t="s">
        <v>83</v>
      </c>
      <c r="C29" s="161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8"/>
    </row>
    <row r="30" spans="1:17">
      <c r="A30" s="340"/>
      <c r="B30" s="308" t="s">
        <v>174</v>
      </c>
      <c r="C30" s="161">
        <v>80000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8"/>
    </row>
    <row r="31" spans="1:17">
      <c r="A31" s="340"/>
      <c r="B31" s="308" t="s">
        <v>175</v>
      </c>
      <c r="C31" s="161">
        <v>40000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8"/>
    </row>
    <row r="32" spans="1:17">
      <c r="A32" s="54"/>
      <c r="B32" s="308" t="s">
        <v>86</v>
      </c>
      <c r="C32" s="192">
        <f>SUM(C30:C31)</f>
        <v>120000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8"/>
    </row>
    <row r="33" spans="1:17">
      <c r="A33" s="54"/>
      <c r="B33" s="308"/>
      <c r="C33" s="161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8"/>
    </row>
    <row r="34" spans="1:17">
      <c r="A34" s="54"/>
      <c r="B34" s="237" t="s">
        <v>84</v>
      </c>
      <c r="C34" s="194">
        <v>75000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8"/>
    </row>
    <row r="35" spans="1:17">
      <c r="A35" s="54"/>
      <c r="B35" s="238"/>
      <c r="C35" s="161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8"/>
    </row>
    <row r="36" spans="1:17">
      <c r="A36" s="54"/>
      <c r="B36" s="237" t="s">
        <v>92</v>
      </c>
      <c r="C36" s="161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8"/>
    </row>
    <row r="37" spans="1:17">
      <c r="A37" s="54"/>
      <c r="B37" s="188" t="s">
        <v>83</v>
      </c>
      <c r="C37" s="161">
        <v>40000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8"/>
    </row>
    <row r="38" spans="1:17">
      <c r="A38" s="54"/>
      <c r="B38" s="189" t="s">
        <v>173</v>
      </c>
      <c r="C38" s="160">
        <v>160000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8"/>
    </row>
    <row r="39" spans="1:17">
      <c r="A39" s="54"/>
      <c r="B39" s="189" t="s">
        <v>172</v>
      </c>
      <c r="C39" s="190">
        <v>50000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8"/>
    </row>
    <row r="40" spans="1:17">
      <c r="A40" s="54"/>
      <c r="B40" s="191" t="s">
        <v>86</v>
      </c>
      <c r="C40" s="192">
        <f>SUM(C37:C39)</f>
        <v>250000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8"/>
    </row>
    <row r="41" spans="1:17">
      <c r="A41" s="54"/>
      <c r="B41" s="309"/>
      <c r="C41" s="161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18"/>
    </row>
    <row r="42" spans="1:17">
      <c r="A42" s="55" t="s">
        <v>80</v>
      </c>
      <c r="B42" s="310"/>
      <c r="C42" s="149">
        <f>SUM(C25+C27+C32+C34+C40)</f>
        <v>2077335.7925632186</v>
      </c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8"/>
    </row>
    <row r="43" spans="1:17">
      <c r="A43" s="38"/>
      <c r="B43" s="199"/>
      <c r="C43" s="156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18"/>
    </row>
    <row r="44" spans="1:17">
      <c r="A44" s="10" t="s">
        <v>15</v>
      </c>
      <c r="B44" s="17"/>
      <c r="C44" s="154">
        <f>SUM(C18-C42)</f>
        <v>0.20743678137660027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18"/>
    </row>
    <row r="45" spans="1:17">
      <c r="A45" s="38"/>
      <c r="B45" s="199"/>
      <c r="C45" s="15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18"/>
    </row>
    <row r="50" spans="2:2">
      <c r="B50" s="339"/>
    </row>
    <row r="51" spans="2:2">
      <c r="B51" s="339"/>
    </row>
    <row r="52" spans="2:2">
      <c r="B52" s="339"/>
    </row>
    <row r="53" spans="2:2">
      <c r="B53" s="339"/>
    </row>
    <row r="54" spans="2:2">
      <c r="B54" s="339"/>
    </row>
    <row r="55" spans="2:2">
      <c r="B55" s="339"/>
    </row>
    <row r="56" spans="2:2">
      <c r="B56" s="339"/>
    </row>
    <row r="57" spans="2:2">
      <c r="B57" s="339"/>
    </row>
    <row r="58" spans="2:2">
      <c r="B58" s="339"/>
    </row>
    <row r="59" spans="2:2">
      <c r="B59" s="339"/>
    </row>
    <row r="60" spans="2:2">
      <c r="B60" s="339"/>
    </row>
    <row r="65" spans="2:2">
      <c r="B65" s="351"/>
    </row>
  </sheetData>
  <mergeCells count="1">
    <mergeCell ref="A1:B1"/>
  </mergeCells>
  <phoneticPr fontId="46" type="noConversion"/>
  <pageMargins left="0.75" right="0.75" top="1" bottom="1" header="0.5" footer="0.5"/>
  <pageSetup paperSize="9" scale="21" fitToHeight="2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Q48"/>
  <sheetViews>
    <sheetView workbookViewId="0">
      <selection activeCell="D34" sqref="D34"/>
    </sheetView>
  </sheetViews>
  <sheetFormatPr baseColWidth="10" defaultRowHeight="15" x14ac:dyDescent="0"/>
  <cols>
    <col min="1" max="1" width="29.6640625" customWidth="1"/>
    <col min="4" max="4" width="13.83203125" bestFit="1" customWidth="1"/>
  </cols>
  <sheetData>
    <row r="2" spans="1:9" ht="23">
      <c r="A2" s="138" t="s">
        <v>149</v>
      </c>
    </row>
    <row r="4" spans="1:9">
      <c r="A4" s="69"/>
      <c r="B4" s="69"/>
      <c r="C4" s="70"/>
      <c r="D4" s="70"/>
      <c r="E4" s="70"/>
      <c r="F4" s="70" t="s">
        <v>24</v>
      </c>
    </row>
    <row r="5" spans="1:9">
      <c r="A5" s="69"/>
      <c r="B5" s="69"/>
      <c r="C5" s="70">
        <v>2013</v>
      </c>
      <c r="D5" s="70"/>
      <c r="E5" s="71"/>
      <c r="F5" s="72"/>
    </row>
    <row r="6" spans="1:9">
      <c r="A6" s="73"/>
      <c r="B6" s="69"/>
      <c r="C6" s="5"/>
      <c r="D6" s="5"/>
      <c r="E6" s="73"/>
      <c r="F6" s="74"/>
    </row>
    <row r="7" spans="1:9">
      <c r="A7" s="95" t="s">
        <v>151</v>
      </c>
      <c r="B7" s="96"/>
      <c r="C7" s="97"/>
      <c r="D7" s="97"/>
      <c r="E7" s="97"/>
      <c r="F7" s="98"/>
    </row>
    <row r="8" spans="1:9">
      <c r="A8" s="75" t="s">
        <v>95</v>
      </c>
      <c r="B8" s="69"/>
      <c r="C8" s="62">
        <v>800000</v>
      </c>
      <c r="D8" s="62"/>
      <c r="E8" s="76"/>
      <c r="F8" s="77"/>
      <c r="G8" s="18"/>
      <c r="I8" s="18"/>
    </row>
    <row r="9" spans="1:9">
      <c r="A9" s="75" t="s">
        <v>82</v>
      </c>
      <c r="B9" s="69"/>
      <c r="C9" s="62">
        <f>D_Organisation!C27</f>
        <v>120000</v>
      </c>
      <c r="D9" s="62"/>
      <c r="E9" s="76"/>
      <c r="F9" s="77"/>
    </row>
    <row r="10" spans="1:9">
      <c r="A10" s="75"/>
      <c r="B10" s="69"/>
      <c r="C10" s="62"/>
      <c r="D10" s="74"/>
      <c r="E10" s="76"/>
      <c r="F10" s="77"/>
    </row>
    <row r="11" spans="1:9">
      <c r="A11" s="106" t="s">
        <v>27</v>
      </c>
      <c r="B11" s="107"/>
      <c r="C11" s="61"/>
      <c r="D11" s="108">
        <f>SUM(C8:C10)</f>
        <v>920000</v>
      </c>
      <c r="E11" s="109"/>
      <c r="F11" s="110"/>
    </row>
    <row r="12" spans="1:9">
      <c r="A12" s="78"/>
      <c r="B12" s="69"/>
      <c r="C12" s="62"/>
      <c r="D12" s="62"/>
      <c r="E12" s="82"/>
      <c r="F12" s="81"/>
    </row>
    <row r="13" spans="1:9">
      <c r="A13" s="83"/>
      <c r="B13" s="69"/>
      <c r="C13" s="62"/>
      <c r="D13" s="62"/>
      <c r="E13" s="84"/>
      <c r="F13" s="77"/>
    </row>
    <row r="14" spans="1:9">
      <c r="A14" s="95" t="s">
        <v>91</v>
      </c>
      <c r="B14" s="96"/>
      <c r="C14" s="99"/>
      <c r="D14" s="99"/>
      <c r="E14" s="100"/>
      <c r="F14" s="101"/>
    </row>
    <row r="15" spans="1:9">
      <c r="A15" s="75" t="s">
        <v>28</v>
      </c>
      <c r="B15" s="69"/>
      <c r="C15" s="304">
        <f>Staff_and_Office_2013!C17</f>
        <v>371250.00000000006</v>
      </c>
      <c r="D15" s="62"/>
      <c r="E15" s="76"/>
      <c r="F15" s="77"/>
    </row>
    <row r="16" spans="1:9">
      <c r="A16" s="75" t="s">
        <v>29</v>
      </c>
      <c r="B16" s="85"/>
      <c r="C16" s="305">
        <f>Staff_and_Office_2013!C18</f>
        <v>125000</v>
      </c>
      <c r="D16" s="62"/>
      <c r="E16" s="76"/>
      <c r="F16" s="77"/>
    </row>
    <row r="17" spans="1:6">
      <c r="A17" s="75" t="s">
        <v>30</v>
      </c>
      <c r="B17" s="85"/>
      <c r="C17" s="305">
        <f>Staff_and_Office_2013!C19</f>
        <v>100000</v>
      </c>
      <c r="D17" s="62"/>
      <c r="E17" s="76"/>
      <c r="F17" s="77"/>
    </row>
    <row r="18" spans="1:6">
      <c r="A18" s="75" t="s">
        <v>31</v>
      </c>
      <c r="B18" s="85"/>
      <c r="C18" s="305">
        <f>Staff_and_Office_2013!C20</f>
        <v>100000</v>
      </c>
      <c r="D18" s="62"/>
      <c r="E18" s="76"/>
      <c r="F18" s="77"/>
    </row>
    <row r="19" spans="1:6">
      <c r="A19" s="75" t="s">
        <v>32</v>
      </c>
      <c r="B19" s="85"/>
      <c r="C19" s="305">
        <f>Staff_and_Office_2013!C21</f>
        <v>10000</v>
      </c>
      <c r="D19" s="62"/>
      <c r="E19" s="76"/>
      <c r="F19" s="77"/>
    </row>
    <row r="20" spans="1:6">
      <c r="A20" s="106" t="s">
        <v>27</v>
      </c>
      <c r="B20" s="111"/>
      <c r="C20" s="61"/>
      <c r="D20" s="108">
        <f>SUM(C15:C19)</f>
        <v>706250</v>
      </c>
      <c r="E20" s="109"/>
      <c r="F20" s="110"/>
    </row>
    <row r="21" spans="1:6">
      <c r="A21" s="78"/>
      <c r="B21" s="86"/>
      <c r="C21" s="62"/>
      <c r="D21" s="62"/>
      <c r="E21" s="82"/>
      <c r="F21" s="81"/>
    </row>
    <row r="22" spans="1:6">
      <c r="A22" s="95" t="s">
        <v>33</v>
      </c>
      <c r="B22" s="102"/>
      <c r="C22" s="99"/>
      <c r="D22" s="99"/>
      <c r="E22" s="103"/>
      <c r="F22" s="101"/>
    </row>
    <row r="23" spans="1:6">
      <c r="A23" s="75" t="s">
        <v>34</v>
      </c>
      <c r="B23" s="85"/>
      <c r="C23" s="62">
        <v>50000</v>
      </c>
      <c r="D23" s="79"/>
      <c r="E23" s="80"/>
      <c r="F23" s="79"/>
    </row>
    <row r="24" spans="1:6">
      <c r="A24" s="75" t="s">
        <v>35</v>
      </c>
      <c r="B24" s="85"/>
      <c r="C24" s="62">
        <v>92000</v>
      </c>
      <c r="D24" s="62"/>
      <c r="E24" s="88"/>
      <c r="F24" s="81"/>
    </row>
    <row r="25" spans="1:6">
      <c r="A25" s="106" t="s">
        <v>27</v>
      </c>
      <c r="B25" s="111"/>
      <c r="C25" s="61"/>
      <c r="D25" s="108">
        <f>SUM(C23:C24)</f>
        <v>142000</v>
      </c>
      <c r="E25" s="112"/>
      <c r="F25" s="113"/>
    </row>
    <row r="26" spans="1:6">
      <c r="A26" s="5"/>
      <c r="B26" s="5"/>
      <c r="C26" s="5"/>
      <c r="D26" s="62"/>
      <c r="E26" s="88"/>
      <c r="F26" s="77"/>
    </row>
    <row r="27" spans="1:6">
      <c r="A27" s="5"/>
      <c r="B27" s="5"/>
      <c r="C27" s="5"/>
      <c r="D27" s="62"/>
      <c r="E27" s="76"/>
      <c r="F27" s="77"/>
    </row>
    <row r="28" spans="1:6">
      <c r="A28" s="5"/>
      <c r="B28" s="5"/>
      <c r="C28" s="5"/>
      <c r="D28" s="79"/>
      <c r="E28" s="80"/>
      <c r="F28" s="79"/>
    </row>
    <row r="29" spans="1:6">
      <c r="A29" s="95" t="s">
        <v>40</v>
      </c>
      <c r="B29" s="102"/>
      <c r="C29" s="97"/>
      <c r="D29" s="99"/>
      <c r="E29" s="103"/>
      <c r="F29" s="105"/>
    </row>
    <row r="30" spans="1:6">
      <c r="A30" s="78"/>
      <c r="B30" s="86"/>
      <c r="C30" s="62"/>
      <c r="D30" s="62"/>
      <c r="E30" s="82"/>
      <c r="F30" s="74"/>
    </row>
    <row r="31" spans="1:6">
      <c r="A31" s="5"/>
      <c r="B31" s="5"/>
      <c r="C31" s="5"/>
      <c r="D31" s="79"/>
      <c r="E31" s="80"/>
      <c r="F31" s="79"/>
    </row>
    <row r="32" spans="1:6">
      <c r="A32" s="114" t="s">
        <v>27</v>
      </c>
      <c r="B32" s="115"/>
      <c r="C32" s="116"/>
      <c r="D32" s="108">
        <f>'Staff 2013'!C42</f>
        <v>15000</v>
      </c>
      <c r="E32" s="117"/>
      <c r="F32" s="108"/>
    </row>
    <row r="33" spans="1:17">
      <c r="A33" s="69"/>
      <c r="B33" s="89"/>
      <c r="C33" s="62"/>
      <c r="D33" s="62"/>
      <c r="E33" s="90"/>
      <c r="F33" s="79"/>
    </row>
    <row r="34" spans="1:17">
      <c r="A34" s="91" t="s">
        <v>41</v>
      </c>
      <c r="B34" s="92"/>
      <c r="C34" s="5"/>
      <c r="D34" s="93">
        <f>SUM(D3:D32)</f>
        <v>1783250</v>
      </c>
      <c r="E34" s="94"/>
      <c r="F34" s="93"/>
    </row>
    <row r="35" spans="1:17">
      <c r="A35" s="73"/>
      <c r="B35" s="87"/>
      <c r="C35" s="62"/>
      <c r="D35" s="79"/>
      <c r="E35" s="88"/>
      <c r="F35" s="79"/>
    </row>
    <row r="36" spans="1:17">
      <c r="A36" s="91" t="s">
        <v>150</v>
      </c>
      <c r="B36" s="89"/>
      <c r="C36" s="62"/>
      <c r="D36" s="93">
        <f>Operational_budget_2013!C87</f>
        <v>24938488.624491524</v>
      </c>
      <c r="E36" s="90"/>
      <c r="F36" s="79"/>
    </row>
    <row r="37" spans="1:17">
      <c r="A37" s="5"/>
      <c r="B37" s="5"/>
      <c r="C37" s="5"/>
      <c r="D37" s="79"/>
      <c r="E37" s="80"/>
      <c r="F37" s="79"/>
    </row>
    <row r="38" spans="1:17">
      <c r="A38" s="69"/>
      <c r="B38" s="89"/>
      <c r="C38" s="62"/>
      <c r="D38" s="62"/>
      <c r="E38" s="90"/>
      <c r="F38" s="69"/>
    </row>
    <row r="39" spans="1:17">
      <c r="A39" s="91" t="s">
        <v>96</v>
      </c>
      <c r="B39" s="92"/>
      <c r="C39" s="5"/>
      <c r="D39" s="139">
        <f>SUM(D34/D36)</f>
        <v>7.1505937142025147E-2</v>
      </c>
      <c r="E39" s="94"/>
      <c r="F39" s="93"/>
    </row>
    <row r="40" spans="1:17">
      <c r="A40" s="78"/>
      <c r="B40" s="86"/>
      <c r="C40" s="62"/>
      <c r="D40" s="62"/>
      <c r="E40" s="82"/>
      <c r="F40" s="69"/>
    </row>
    <row r="41" spans="1:17">
      <c r="A41" s="46"/>
      <c r="B41" s="52"/>
      <c r="C41" s="18"/>
      <c r="D41" s="18"/>
      <c r="E41" s="53"/>
      <c r="F41" s="47"/>
    </row>
    <row r="42" spans="1:17">
      <c r="A42" s="46"/>
      <c r="B42" s="50"/>
      <c r="C42" s="18"/>
      <c r="D42" s="18"/>
      <c r="E42" s="51"/>
      <c r="F42" s="47"/>
    </row>
    <row r="43" spans="1:17">
      <c r="A43" s="46"/>
      <c r="B43" s="50"/>
      <c r="C43" s="18"/>
      <c r="D43" s="18"/>
      <c r="E43" s="51"/>
      <c r="F43" s="47"/>
    </row>
    <row r="44" spans="1:17">
      <c r="A44" s="45"/>
      <c r="B44" s="50"/>
      <c r="C44" s="18"/>
      <c r="D44" s="18"/>
      <c r="E44" s="53"/>
      <c r="F44" s="47"/>
    </row>
    <row r="45" spans="1:17">
      <c r="E45" s="53"/>
      <c r="F45" s="47"/>
    </row>
    <row r="46" spans="1:17">
      <c r="A46" s="45"/>
      <c r="B46" s="52"/>
      <c r="C46" s="18"/>
      <c r="D46" s="18"/>
      <c r="E46" s="53"/>
      <c r="F46" s="47"/>
    </row>
    <row r="47" spans="1:17">
      <c r="A47" s="45"/>
      <c r="B47" s="52"/>
      <c r="C47" s="18"/>
      <c r="D47" s="18"/>
      <c r="E47" s="53"/>
      <c r="F47" s="47"/>
    </row>
    <row r="48" spans="1:17">
      <c r="A48" s="48"/>
      <c r="B48" s="52"/>
      <c r="C48" s="49"/>
      <c r="D48" s="49"/>
      <c r="E48" s="51"/>
      <c r="F48" s="49"/>
    </row>
  </sheetData>
  <phoneticPr fontId="46" type="noConversion"/>
  <pageMargins left="0.75" right="0.75" top="1" bottom="1" header="0.5" footer="0.5"/>
  <pageSetup paperSize="9" scale="93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F69"/>
  <sheetViews>
    <sheetView topLeftCell="A13" workbookViewId="0">
      <selection activeCell="F68" sqref="F68"/>
    </sheetView>
  </sheetViews>
  <sheetFormatPr baseColWidth="10" defaultRowHeight="15" x14ac:dyDescent="0"/>
  <cols>
    <col min="1" max="1" width="26.83203125" customWidth="1"/>
    <col min="2" max="2" width="18" bestFit="1" customWidth="1"/>
    <col min="3" max="3" width="24.1640625" customWidth="1"/>
    <col min="4" max="4" width="22" customWidth="1"/>
    <col min="6" max="6" width="21.83203125" customWidth="1"/>
  </cols>
  <sheetData>
    <row r="2" spans="1:5" ht="23">
      <c r="A2" s="136" t="s">
        <v>140</v>
      </c>
    </row>
    <row r="4" spans="1:5">
      <c r="A4" s="5"/>
      <c r="B4" s="5"/>
      <c r="C4" s="124" t="s">
        <v>43</v>
      </c>
      <c r="D4" s="62" t="s">
        <v>42</v>
      </c>
      <c r="E4" s="5"/>
    </row>
    <row r="5" spans="1:5">
      <c r="A5" s="5"/>
      <c r="B5" s="5"/>
      <c r="C5" s="125">
        <v>2013</v>
      </c>
      <c r="D5" s="5"/>
      <c r="E5" s="5"/>
    </row>
    <row r="6" spans="1:5">
      <c r="A6" s="5"/>
      <c r="B6" s="5"/>
      <c r="C6" s="5"/>
      <c r="D6" s="5"/>
      <c r="E6" s="5" t="s">
        <v>59</v>
      </c>
    </row>
    <row r="7" spans="1:5">
      <c r="A7" s="73" t="s">
        <v>44</v>
      </c>
      <c r="B7" s="126" t="s">
        <v>45</v>
      </c>
      <c r="C7" s="62">
        <f>SUM(D7*E7)</f>
        <v>1338950</v>
      </c>
      <c r="D7" s="74">
        <v>109750</v>
      </c>
      <c r="E7" s="127">
        <v>12.2</v>
      </c>
    </row>
    <row r="8" spans="1:5">
      <c r="A8" s="5"/>
      <c r="B8" s="126" t="s">
        <v>58</v>
      </c>
      <c r="C8" s="62">
        <f>SUM(D8*E8)</f>
        <v>488000</v>
      </c>
      <c r="D8" s="62">
        <v>40000</v>
      </c>
      <c r="E8" s="127">
        <v>12.2</v>
      </c>
    </row>
    <row r="9" spans="1:5">
      <c r="A9" s="5"/>
      <c r="B9" s="126" t="s">
        <v>46</v>
      </c>
      <c r="C9" s="62">
        <f>SUM(D9*E9)</f>
        <v>714163.6</v>
      </c>
      <c r="D9" s="62">
        <v>58538</v>
      </c>
      <c r="E9" s="127">
        <v>12.2</v>
      </c>
    </row>
    <row r="10" spans="1:5">
      <c r="A10" s="5"/>
      <c r="B10" s="126" t="s">
        <v>141</v>
      </c>
      <c r="C10" s="62">
        <f>SUM(D10*E10)</f>
        <v>353800</v>
      </c>
      <c r="D10" s="62">
        <v>29000</v>
      </c>
      <c r="E10" s="127">
        <v>12.2</v>
      </c>
    </row>
    <row r="11" spans="1:5">
      <c r="A11" s="78" t="s">
        <v>47</v>
      </c>
      <c r="B11" s="5"/>
      <c r="C11" s="79">
        <f>SUM(C7:C10)</f>
        <v>2894913.6</v>
      </c>
      <c r="E11" s="137"/>
    </row>
    <row r="12" spans="1:5">
      <c r="A12" s="5"/>
      <c r="B12" s="5"/>
      <c r="C12" s="5"/>
      <c r="D12" s="5"/>
      <c r="E12" s="5"/>
    </row>
    <row r="13" spans="1:5">
      <c r="A13" s="73" t="s">
        <v>48</v>
      </c>
      <c r="B13" s="128" t="s">
        <v>45</v>
      </c>
      <c r="C13" s="74">
        <v>0</v>
      </c>
      <c r="D13" s="69"/>
      <c r="E13" s="5"/>
    </row>
    <row r="14" spans="1:5">
      <c r="A14" s="5"/>
      <c r="B14" s="128" t="s">
        <v>58</v>
      </c>
      <c r="C14" s="74">
        <v>0</v>
      </c>
      <c r="D14" s="69"/>
      <c r="E14" s="5"/>
    </row>
    <row r="15" spans="1:5">
      <c r="A15" s="5"/>
      <c r="B15" s="128" t="s">
        <v>46</v>
      </c>
      <c r="C15" s="74">
        <v>0</v>
      </c>
      <c r="D15" s="69"/>
      <c r="E15" s="5"/>
    </row>
    <row r="16" spans="1:5">
      <c r="A16" s="5"/>
      <c r="B16" s="128" t="s">
        <v>141</v>
      </c>
      <c r="C16" s="74">
        <v>0</v>
      </c>
      <c r="D16" s="69"/>
      <c r="E16" s="5"/>
    </row>
    <row r="17" spans="1:5">
      <c r="A17" s="78" t="s">
        <v>47</v>
      </c>
      <c r="B17" s="5"/>
      <c r="C17" s="79">
        <f>SUM(C13:C16)</f>
        <v>0</v>
      </c>
      <c r="D17" s="5"/>
      <c r="E17" s="5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  <row r="22" spans="1:5">
      <c r="A22" s="73" t="s">
        <v>49</v>
      </c>
      <c r="B22" s="5"/>
      <c r="C22" s="62">
        <v>0</v>
      </c>
      <c r="D22" s="5"/>
      <c r="E22" s="5"/>
    </row>
    <row r="23" spans="1:5">
      <c r="A23" s="73"/>
      <c r="B23" s="5"/>
      <c r="C23" s="5">
        <v>0</v>
      </c>
      <c r="D23" s="5"/>
      <c r="E23" s="5"/>
    </row>
    <row r="24" spans="1:5">
      <c r="A24" s="78" t="s">
        <v>47</v>
      </c>
      <c r="B24" s="5"/>
      <c r="C24" s="79">
        <f>SUM(C22:C23)</f>
        <v>0</v>
      </c>
      <c r="D24" s="5"/>
      <c r="E24" s="5"/>
    </row>
    <row r="25" spans="1:5">
      <c r="A25" s="78"/>
      <c r="B25" s="5"/>
      <c r="C25" s="5"/>
      <c r="D25" s="5" t="s">
        <v>60</v>
      </c>
      <c r="E25" s="5" t="s">
        <v>61</v>
      </c>
    </row>
    <row r="26" spans="1:5">
      <c r="A26" s="73" t="s">
        <v>50</v>
      </c>
      <c r="B26" s="126" t="s">
        <v>45</v>
      </c>
      <c r="C26" s="62">
        <f>SUM(D26*E26)</f>
        <v>239364</v>
      </c>
      <c r="D26" s="74">
        <v>19947</v>
      </c>
      <c r="E26" s="62">
        <v>12</v>
      </c>
    </row>
    <row r="27" spans="1:5">
      <c r="A27" s="5"/>
      <c r="B27" s="126" t="s">
        <v>46</v>
      </c>
      <c r="C27" s="62">
        <f>SUM(D27*E27)</f>
        <v>139356</v>
      </c>
      <c r="D27" s="74">
        <v>11613</v>
      </c>
      <c r="E27" s="62">
        <v>12</v>
      </c>
    </row>
    <row r="28" spans="1:5">
      <c r="A28" s="5"/>
      <c r="B28" s="126" t="s">
        <v>58</v>
      </c>
      <c r="C28" s="62">
        <f>SUM(D28*E28)</f>
        <v>96000</v>
      </c>
      <c r="D28" s="74">
        <v>8000</v>
      </c>
      <c r="E28" s="62">
        <v>12</v>
      </c>
    </row>
    <row r="29" spans="1:5">
      <c r="A29" s="5"/>
      <c r="B29" s="126" t="s">
        <v>141</v>
      </c>
      <c r="C29" s="62">
        <f>SUM(D29*E29)</f>
        <v>30000</v>
      </c>
      <c r="D29" s="74">
        <v>2500</v>
      </c>
      <c r="E29" s="62">
        <v>12</v>
      </c>
    </row>
    <row r="30" spans="1:5">
      <c r="A30" s="78" t="s">
        <v>47</v>
      </c>
      <c r="B30" s="5"/>
      <c r="C30" s="79">
        <f>SUM(C26:C29)</f>
        <v>504720</v>
      </c>
      <c r="D30" s="62"/>
      <c r="E30" s="5"/>
    </row>
    <row r="31" spans="1:5">
      <c r="A31" s="78"/>
      <c r="B31" s="5"/>
      <c r="C31" s="79"/>
      <c r="D31" s="62"/>
      <c r="E31" s="5"/>
    </row>
    <row r="32" spans="1:5">
      <c r="A32" s="78" t="s">
        <v>94</v>
      </c>
      <c r="B32" s="5"/>
      <c r="C32" s="79"/>
      <c r="D32" s="62"/>
      <c r="E32" s="5"/>
    </row>
    <row r="33" spans="1:6">
      <c r="A33" s="78"/>
      <c r="B33" s="129" t="s">
        <v>45</v>
      </c>
      <c r="C33" s="74">
        <f>SUM(D33*E33)</f>
        <v>0</v>
      </c>
      <c r="D33" s="5">
        <v>0</v>
      </c>
      <c r="E33" s="5">
        <v>0</v>
      </c>
    </row>
    <row r="34" spans="1:6">
      <c r="A34" s="78"/>
      <c r="B34" s="129" t="s">
        <v>58</v>
      </c>
      <c r="C34" s="74">
        <v>0</v>
      </c>
      <c r="D34" s="62">
        <v>0</v>
      </c>
      <c r="E34" s="5">
        <v>0</v>
      </c>
    </row>
    <row r="35" spans="1:6">
      <c r="A35" s="78"/>
      <c r="B35" s="129" t="s">
        <v>46</v>
      </c>
      <c r="C35" s="74">
        <f>SUM(D35*E35)</f>
        <v>0</v>
      </c>
      <c r="D35" s="62">
        <v>0</v>
      </c>
      <c r="E35" s="5">
        <v>0</v>
      </c>
    </row>
    <row r="36" spans="1:6">
      <c r="A36" s="78"/>
      <c r="B36" s="129" t="s">
        <v>141</v>
      </c>
      <c r="C36" s="74">
        <v>0</v>
      </c>
      <c r="D36" s="62">
        <v>0</v>
      </c>
      <c r="E36" s="5">
        <v>0</v>
      </c>
    </row>
    <row r="37" spans="1:6">
      <c r="A37" s="78" t="s">
        <v>47</v>
      </c>
      <c r="B37" s="5"/>
      <c r="C37" s="79">
        <f>SUM(C33:C35)</f>
        <v>0</v>
      </c>
      <c r="D37" s="62"/>
      <c r="E37" s="5"/>
    </row>
    <row r="38" spans="1:6">
      <c r="A38" s="78"/>
      <c r="B38" s="5"/>
      <c r="C38" s="79"/>
      <c r="D38" s="62"/>
      <c r="E38" s="5"/>
    </row>
    <row r="39" spans="1:6">
      <c r="A39" s="5"/>
      <c r="B39" s="5"/>
      <c r="C39" s="5"/>
      <c r="D39" s="137" t="s">
        <v>142</v>
      </c>
      <c r="E39" s="5"/>
    </row>
    <row r="40" spans="1:6">
      <c r="A40" s="73" t="s">
        <v>51</v>
      </c>
      <c r="B40" s="5"/>
      <c r="C40" s="79">
        <f>SUM(D40*E40)</f>
        <v>52000</v>
      </c>
      <c r="D40" s="5">
        <v>4</v>
      </c>
      <c r="E40" s="5">
        <v>13000</v>
      </c>
      <c r="F40" s="45"/>
    </row>
    <row r="41" spans="1:6">
      <c r="A41" s="73"/>
      <c r="B41" s="5"/>
      <c r="C41" s="5"/>
      <c r="D41" s="5"/>
      <c r="E41" s="5"/>
    </row>
    <row r="42" spans="1:6">
      <c r="A42" s="73" t="s">
        <v>52</v>
      </c>
      <c r="B42" s="5"/>
      <c r="C42" s="79">
        <v>15000</v>
      </c>
      <c r="D42" s="5"/>
      <c r="E42" s="5"/>
    </row>
    <row r="43" spans="1:6">
      <c r="A43" s="5"/>
      <c r="B43" s="5"/>
      <c r="C43" s="5"/>
      <c r="D43" s="5"/>
      <c r="E43" s="5"/>
    </row>
    <row r="44" spans="1:6">
      <c r="A44" s="73" t="s">
        <v>53</v>
      </c>
      <c r="B44" s="126" t="s">
        <v>45</v>
      </c>
      <c r="C44" s="74">
        <f>SUM(D7*E7*D44)</f>
        <v>136706.79499999998</v>
      </c>
      <c r="D44" s="130">
        <v>0.1021</v>
      </c>
      <c r="E44" s="5"/>
    </row>
    <row r="45" spans="1:6">
      <c r="A45" s="73"/>
      <c r="B45" s="126" t="s">
        <v>58</v>
      </c>
      <c r="C45" s="74">
        <f>SUM(D8*E8*D45)</f>
        <v>153329.59999999998</v>
      </c>
      <c r="D45" s="131">
        <v>0.31419999999999998</v>
      </c>
      <c r="E45" s="5"/>
    </row>
    <row r="46" spans="1:6">
      <c r="A46" s="73"/>
      <c r="B46" s="128" t="s">
        <v>46</v>
      </c>
      <c r="C46" s="132">
        <f>SUM(D9*E9*D46)</f>
        <v>224390.20311999999</v>
      </c>
      <c r="D46" s="131">
        <v>0.31419999999999998</v>
      </c>
      <c r="E46" s="5"/>
    </row>
    <row r="47" spans="1:6">
      <c r="A47" s="73"/>
      <c r="B47" s="128" t="s">
        <v>141</v>
      </c>
      <c r="C47" s="132">
        <f>SUM(D10*E10*D47)</f>
        <v>111163.95999999999</v>
      </c>
      <c r="D47" s="131">
        <v>0.31419999999999998</v>
      </c>
      <c r="E47" s="5"/>
    </row>
    <row r="48" spans="1:6">
      <c r="A48" s="78" t="s">
        <v>47</v>
      </c>
      <c r="B48" s="128"/>
      <c r="C48" s="133">
        <f>SUM(C44:C47)</f>
        <v>625590.55811999994</v>
      </c>
      <c r="D48" s="131"/>
      <c r="E48" s="5"/>
    </row>
    <row r="49" spans="1:5">
      <c r="A49" s="73"/>
      <c r="B49" s="128"/>
      <c r="C49" s="133"/>
      <c r="D49" s="131"/>
      <c r="E49" s="5"/>
    </row>
    <row r="50" spans="1:5">
      <c r="A50" s="73" t="s">
        <v>89</v>
      </c>
      <c r="B50" s="128"/>
      <c r="C50" s="133"/>
      <c r="D50" s="131"/>
      <c r="E50" s="5"/>
    </row>
    <row r="51" spans="1:5">
      <c r="A51" s="73"/>
      <c r="B51" s="128" t="s">
        <v>45</v>
      </c>
      <c r="C51" s="132">
        <f>SUM(C13*D51)</f>
        <v>0</v>
      </c>
      <c r="D51" s="130">
        <v>0.1021</v>
      </c>
      <c r="E51" s="5"/>
    </row>
    <row r="52" spans="1:5">
      <c r="A52" s="73"/>
      <c r="B52" s="128" t="s">
        <v>58</v>
      </c>
      <c r="C52" s="132">
        <f>SUM(C14*D52)</f>
        <v>0</v>
      </c>
      <c r="D52" s="131">
        <v>0.31419999999999998</v>
      </c>
      <c r="E52" s="5"/>
    </row>
    <row r="53" spans="1:5">
      <c r="A53" s="73"/>
      <c r="B53" s="128" t="s">
        <v>46</v>
      </c>
      <c r="C53" s="132">
        <f>SUM(C15*D53)</f>
        <v>0</v>
      </c>
      <c r="D53" s="131">
        <v>0.31419999999999998</v>
      </c>
      <c r="E53" s="5"/>
    </row>
    <row r="54" spans="1:5">
      <c r="A54" s="73"/>
      <c r="B54" s="128" t="s">
        <v>141</v>
      </c>
      <c r="C54" s="133"/>
      <c r="D54" s="131"/>
      <c r="E54" s="5"/>
    </row>
    <row r="55" spans="1:5">
      <c r="A55" s="78" t="s">
        <v>47</v>
      </c>
      <c r="B55" s="128"/>
      <c r="C55" s="133">
        <f>SUM(C51:C53)</f>
        <v>0</v>
      </c>
      <c r="D55" s="131"/>
      <c r="E55" s="5"/>
    </row>
    <row r="56" spans="1:5">
      <c r="A56" s="73"/>
      <c r="B56" s="128"/>
      <c r="C56" s="133"/>
      <c r="D56" s="131"/>
      <c r="E56" s="5"/>
    </row>
    <row r="57" spans="1:5">
      <c r="A57" s="73" t="s">
        <v>54</v>
      </c>
      <c r="B57" s="5"/>
      <c r="C57" s="133">
        <f>SUM(C26:C30)*D57</f>
        <v>262454.40000000002</v>
      </c>
      <c r="D57" s="131">
        <v>0.26</v>
      </c>
      <c r="E57" s="5"/>
    </row>
    <row r="58" spans="1:5">
      <c r="A58" s="73"/>
      <c r="B58" s="5"/>
      <c r="C58" s="133"/>
      <c r="D58" s="131"/>
      <c r="E58" s="5"/>
    </row>
    <row r="59" spans="1:5">
      <c r="A59" s="73" t="s">
        <v>90</v>
      </c>
      <c r="B59" s="5"/>
      <c r="C59" s="133">
        <f>SUM(C33:C36)*D59</f>
        <v>0</v>
      </c>
      <c r="D59" s="131">
        <v>0.26</v>
      </c>
      <c r="E59" s="5"/>
    </row>
    <row r="60" spans="1:5">
      <c r="A60" s="73"/>
      <c r="B60" s="128"/>
      <c r="C60" s="133"/>
      <c r="D60" s="131"/>
      <c r="E60" s="5"/>
    </row>
    <row r="61" spans="1:5">
      <c r="A61" s="73"/>
      <c r="B61" s="128"/>
      <c r="C61" s="133"/>
      <c r="D61" s="131"/>
      <c r="E61" s="5"/>
    </row>
    <row r="62" spans="1:5">
      <c r="A62" s="73"/>
      <c r="B62" s="128"/>
      <c r="C62" s="133"/>
      <c r="D62" s="131"/>
      <c r="E62" s="5"/>
    </row>
    <row r="63" spans="1:5">
      <c r="A63" s="176"/>
      <c r="B63" s="128"/>
      <c r="C63" s="133"/>
      <c r="D63" s="131"/>
      <c r="E63" s="5"/>
    </row>
    <row r="64" spans="1:5">
      <c r="A64" s="73"/>
      <c r="B64" s="128"/>
      <c r="C64" s="133"/>
      <c r="D64" s="131"/>
      <c r="E64" s="5"/>
    </row>
    <row r="65" spans="1:5">
      <c r="A65" s="73"/>
      <c r="B65" s="5"/>
      <c r="C65" s="133"/>
      <c r="D65" s="131"/>
      <c r="E65" s="5"/>
    </row>
    <row r="66" spans="1:5">
      <c r="A66" s="69" t="s">
        <v>55</v>
      </c>
      <c r="B66" s="5"/>
      <c r="C66" s="5"/>
      <c r="D66" s="5"/>
      <c r="E66" s="5"/>
    </row>
    <row r="67" spans="1:5">
      <c r="A67" s="134" t="s">
        <v>56</v>
      </c>
      <c r="B67" s="5"/>
      <c r="C67" s="93">
        <f>SUM(C11+C17+C24+C30+C37+C40+C42+C48+C55+C57+C59+C63)</f>
        <v>4354678.5581200002</v>
      </c>
      <c r="D67" s="5"/>
      <c r="E67" s="5"/>
    </row>
    <row r="68" spans="1:5">
      <c r="A68" s="135" t="s">
        <v>57</v>
      </c>
      <c r="B68" s="5"/>
      <c r="C68" s="5"/>
      <c r="D68" s="5"/>
      <c r="E68" s="5"/>
    </row>
    <row r="69" spans="1:5">
      <c r="A69" s="5"/>
      <c r="B69" s="5"/>
      <c r="C69" s="5"/>
      <c r="D69" s="5"/>
      <c r="E69" s="5"/>
    </row>
  </sheetData>
  <phoneticPr fontId="46" type="noConversion"/>
  <pageMargins left="0.75" right="0.75" top="1" bottom="1" header="0.5" footer="0.5"/>
  <pageSetup paperSize="9" scale="66" fitToWidth="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90"/>
  <sheetViews>
    <sheetView topLeftCell="A36" workbookViewId="0">
      <selection activeCell="A75" sqref="A75"/>
    </sheetView>
  </sheetViews>
  <sheetFormatPr baseColWidth="10" defaultRowHeight="15" x14ac:dyDescent="0"/>
  <cols>
    <col min="1" max="1" width="31.5" style="41" customWidth="1"/>
    <col min="2" max="2" width="52.33203125" customWidth="1"/>
    <col min="3" max="3" width="23.1640625" customWidth="1"/>
    <col min="4" max="16" width="20.1640625" customWidth="1"/>
    <col min="17" max="17" width="21.6640625" customWidth="1"/>
    <col min="19" max="19" width="16.5" customWidth="1"/>
  </cols>
  <sheetData>
    <row r="1" spans="1:20" ht="30" customHeight="1">
      <c r="A1" s="423" t="s">
        <v>139</v>
      </c>
      <c r="B1" s="423"/>
    </row>
    <row r="3" spans="1:20">
      <c r="A3" s="10" t="s">
        <v>1</v>
      </c>
      <c r="B3" s="180" t="s">
        <v>161</v>
      </c>
      <c r="C3" s="12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20">
      <c r="A4" s="10"/>
      <c r="B4" s="267" t="s">
        <v>10</v>
      </c>
      <c r="C4" s="12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18"/>
    </row>
    <row r="5" spans="1:20">
      <c r="A5" s="19" t="s">
        <v>2</v>
      </c>
      <c r="B5" s="20"/>
      <c r="C5" s="29"/>
      <c r="D5" s="152" t="s">
        <v>99</v>
      </c>
      <c r="E5" s="152" t="s">
        <v>152</v>
      </c>
      <c r="F5" s="152" t="s">
        <v>104</v>
      </c>
      <c r="G5" s="152" t="s">
        <v>100</v>
      </c>
      <c r="H5" s="152" t="s">
        <v>103</v>
      </c>
      <c r="I5" s="152" t="s">
        <v>101</v>
      </c>
      <c r="J5" s="152" t="s">
        <v>102</v>
      </c>
      <c r="K5" s="152" t="s">
        <v>105</v>
      </c>
      <c r="L5" s="152" t="s">
        <v>106</v>
      </c>
      <c r="M5" s="152" t="s">
        <v>107</v>
      </c>
      <c r="N5" s="152" t="s">
        <v>108</v>
      </c>
      <c r="O5" s="152" t="s">
        <v>109</v>
      </c>
      <c r="P5" s="152" t="s">
        <v>110</v>
      </c>
      <c r="R5" s="18"/>
    </row>
    <row r="6" spans="1:20">
      <c r="A6" s="21"/>
      <c r="B6" s="37"/>
      <c r="C6" s="6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122"/>
    </row>
    <row r="7" spans="1:20">
      <c r="A7" s="38" t="s">
        <v>62</v>
      </c>
      <c r="B7" s="13"/>
      <c r="C7" s="1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R7" s="18"/>
      <c r="T7" s="18"/>
    </row>
    <row r="8" spans="1:20">
      <c r="A8" s="38"/>
      <c r="B8" s="181" t="str">
        <f>Component_1!D7</f>
        <v>Sida (Libya Rule of Law Priorities)</v>
      </c>
      <c r="C8" s="182">
        <f>Component_1!E7</f>
        <v>1159000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R8" s="18"/>
      <c r="T8" s="120"/>
    </row>
    <row r="9" spans="1:20">
      <c r="A9" s="38"/>
      <c r="B9" s="177"/>
      <c r="C9" s="34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R9" s="18"/>
      <c r="T9" s="120"/>
    </row>
    <row r="10" spans="1:20">
      <c r="A10" s="38"/>
      <c r="B10" s="181" t="str">
        <f>Component_1!D9</f>
        <v>Swedish MFA (Morocco)</v>
      </c>
      <c r="C10" s="182">
        <f>Component_1!E9</f>
        <v>250000</v>
      </c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R10" s="18"/>
      <c r="T10" s="120"/>
    </row>
    <row r="11" spans="1:20">
      <c r="A11" s="38"/>
      <c r="B11" s="13"/>
      <c r="C11" s="14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R11" s="18"/>
    </row>
    <row r="12" spans="1:20">
      <c r="A12" s="38" t="s">
        <v>63</v>
      </c>
      <c r="B12" s="5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R12" s="18"/>
    </row>
    <row r="13" spans="1:20">
      <c r="A13" s="38"/>
      <c r="B13" s="268" t="str">
        <f>Component_2!D7</f>
        <v>Sida (ICC and the African Court…)</v>
      </c>
      <c r="C13" s="269">
        <f>Component_2!E7</f>
        <v>150000</v>
      </c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R13" s="18"/>
      <c r="T13" s="119"/>
    </row>
    <row r="14" spans="1:20">
      <c r="A14" s="38"/>
      <c r="B14" s="5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R14" s="18"/>
      <c r="T14" s="120"/>
    </row>
    <row r="15" spans="1:20">
      <c r="A15" s="38" t="s">
        <v>66</v>
      </c>
      <c r="B15" s="5"/>
      <c r="C15" s="14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R15" s="18"/>
      <c r="T15" s="121"/>
    </row>
    <row r="16" spans="1:20">
      <c r="A16" s="38"/>
      <c r="B16" s="181" t="str">
        <f>Component_3!C8</f>
        <v>Sida  (Tunisia Training of Judges 2013 Part 1)</v>
      </c>
      <c r="C16" s="182">
        <f>Component_3!D8</f>
        <v>7517501</v>
      </c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R16" s="18"/>
      <c r="T16" s="121"/>
    </row>
    <row r="17" spans="1:20">
      <c r="A17" s="38"/>
      <c r="B17" s="5"/>
      <c r="C17" s="14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R17" s="18"/>
      <c r="T17" s="121"/>
    </row>
    <row r="18" spans="1:20">
      <c r="A18" s="38"/>
      <c r="B18" s="181" t="str">
        <f>Component_3!C10</f>
        <v>Sida  (Tunisia Training of Judges 2013 Part 2)</v>
      </c>
      <c r="C18" s="182">
        <f>Component_3!D10</f>
        <v>3976251</v>
      </c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R18" s="18"/>
      <c r="T18" s="119"/>
    </row>
    <row r="19" spans="1:20">
      <c r="A19" s="38"/>
      <c r="B19" s="13"/>
      <c r="C19" s="14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R19" s="18"/>
      <c r="T19" s="119"/>
    </row>
    <row r="20" spans="1:20">
      <c r="A20" s="38"/>
      <c r="B20" s="181" t="str">
        <f>Component_3!C12</f>
        <v>Swedish MFA (Morocco)</v>
      </c>
      <c r="C20" s="270">
        <f>Component_3!D12</f>
        <v>800000</v>
      </c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R20" s="18"/>
      <c r="T20" s="119"/>
    </row>
    <row r="21" spans="1:20">
      <c r="A21" s="38"/>
      <c r="B21" s="13"/>
      <c r="C21" s="24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R21" s="18"/>
      <c r="T21" s="119"/>
    </row>
    <row r="22" spans="1:20">
      <c r="A22" s="38"/>
      <c r="B22" s="271" t="str">
        <f>Component_3!C14</f>
        <v>Sida (Libya)</v>
      </c>
      <c r="C22" s="272">
        <f>Component_3!D14</f>
        <v>3539193</v>
      </c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R22" s="18"/>
      <c r="T22" s="120"/>
    </row>
    <row r="23" spans="1:20">
      <c r="A23" s="38"/>
      <c r="B23" s="21"/>
      <c r="C23" s="325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R23" s="18"/>
      <c r="T23" s="120"/>
    </row>
    <row r="24" spans="1:20">
      <c r="A24" s="38"/>
      <c r="B24" s="181" t="str">
        <f>Component_3!C16</f>
        <v>Swedish MFA ( Gender Justice)</v>
      </c>
      <c r="C24" s="270">
        <f>Component_3!D16</f>
        <v>862487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R24" s="18"/>
      <c r="T24" s="120"/>
    </row>
    <row r="25" spans="1:20">
      <c r="A25" s="38"/>
      <c r="B25" s="13"/>
      <c r="C25" s="14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R25" s="18"/>
      <c r="T25" s="119"/>
    </row>
    <row r="26" spans="1:20">
      <c r="A26" s="42" t="s">
        <v>16</v>
      </c>
      <c r="B26" s="43"/>
      <c r="C26" s="26">
        <f>SUM(C6:C25)</f>
        <v>18254432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R26" s="18"/>
    </row>
    <row r="27" spans="1:20">
      <c r="A27" s="38"/>
      <c r="B27" s="13"/>
      <c r="C27" s="14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8"/>
    </row>
    <row r="28" spans="1:20">
      <c r="A28" s="39" t="s">
        <v>3</v>
      </c>
      <c r="B28" s="30"/>
      <c r="C28" s="2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18"/>
    </row>
    <row r="29" spans="1:20">
      <c r="A29" s="40"/>
      <c r="B29" s="35"/>
      <c r="C29" s="34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8"/>
    </row>
    <row r="30" spans="1:20">
      <c r="A30" s="38"/>
      <c r="B30" s="268" t="s">
        <v>11</v>
      </c>
      <c r="C30" s="269">
        <v>56000</v>
      </c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8"/>
    </row>
    <row r="31" spans="1:20">
      <c r="A31" s="38"/>
      <c r="B31" s="16"/>
      <c r="C31" s="15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266"/>
      <c r="O31" s="151"/>
      <c r="P31" s="151"/>
      <c r="Q31" s="18"/>
    </row>
    <row r="32" spans="1:20">
      <c r="A32" s="38"/>
      <c r="B32" s="181" t="s">
        <v>138</v>
      </c>
      <c r="C32" s="182">
        <v>6000000</v>
      </c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8"/>
    </row>
    <row r="33" spans="1:17">
      <c r="A33" s="38"/>
      <c r="B33" s="181" t="s">
        <v>225</v>
      </c>
      <c r="C33" s="253">
        <v>600000</v>
      </c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8"/>
    </row>
    <row r="34" spans="1:17">
      <c r="A34" s="38"/>
      <c r="B34" s="21"/>
      <c r="C34" s="280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8"/>
    </row>
    <row r="35" spans="1:17">
      <c r="A35" s="38"/>
      <c r="B35" s="21"/>
      <c r="C35" s="280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8"/>
    </row>
    <row r="36" spans="1:17">
      <c r="A36" s="42" t="s">
        <v>17</v>
      </c>
      <c r="B36" s="43"/>
      <c r="C36" s="26">
        <f>SUM(C30:C35)</f>
        <v>6656000</v>
      </c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18"/>
    </row>
    <row r="37" spans="1:17">
      <c r="A37" s="10"/>
      <c r="B37" s="11"/>
      <c r="C37" s="11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8"/>
    </row>
    <row r="38" spans="1:17">
      <c r="A38" s="24" t="s">
        <v>14</v>
      </c>
      <c r="B38" s="25"/>
      <c r="C38" s="26">
        <f>SUM(C26+C36)</f>
        <v>24910432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18"/>
    </row>
    <row r="39" spans="1:17">
      <c r="A39" s="10"/>
      <c r="B39" s="11"/>
      <c r="C39" s="11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8"/>
    </row>
    <row r="40" spans="1:17">
      <c r="A40" s="32" t="s">
        <v>87</v>
      </c>
      <c r="B40" s="33"/>
      <c r="C40" s="33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8"/>
    </row>
    <row r="41" spans="1:17" s="23" customFormat="1">
      <c r="A41" s="19" t="s">
        <v>62</v>
      </c>
      <c r="B41" s="20" t="s">
        <v>69</v>
      </c>
      <c r="C41" s="20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118"/>
    </row>
    <row r="42" spans="1:17">
      <c r="A42" s="38"/>
      <c r="B42" s="10"/>
      <c r="C42" s="14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8"/>
    </row>
    <row r="43" spans="1:17">
      <c r="A43" s="38"/>
      <c r="B43" s="181" t="str">
        <f>Component_1!D26</f>
        <v>LIBYA, Rule of Law Priorities</v>
      </c>
      <c r="C43" s="182">
        <f>Component_1!E42</f>
        <v>1159000</v>
      </c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8"/>
    </row>
    <row r="44" spans="1:17">
      <c r="A44" s="38"/>
      <c r="B44" s="13"/>
      <c r="C44" s="14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8"/>
    </row>
    <row r="45" spans="1:17">
      <c r="A45" s="38"/>
      <c r="B45" s="181" t="str">
        <f>Component_1!D44</f>
        <v>MOROCCO Training of Judges</v>
      </c>
      <c r="C45" s="169">
        <f>Component_1!E49</f>
        <v>249999.6944381186</v>
      </c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8"/>
    </row>
    <row r="46" spans="1:17">
      <c r="A46" s="38"/>
      <c r="B46" s="13"/>
      <c r="C46" s="153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8"/>
    </row>
    <row r="47" spans="1:17">
      <c r="A47" s="38"/>
      <c r="B47" s="181" t="str">
        <f>Component_1!D51</f>
        <v>BURMA Rule of Law Priorities</v>
      </c>
      <c r="C47" s="169">
        <f>Component_1!E57</f>
        <v>598419.48264488811</v>
      </c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8"/>
    </row>
    <row r="48" spans="1:17">
      <c r="A48" s="38"/>
      <c r="B48" s="13"/>
      <c r="C48" s="153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18"/>
    </row>
    <row r="49" spans="1:17">
      <c r="A49" s="24" t="s">
        <v>64</v>
      </c>
      <c r="B49" s="25"/>
      <c r="C49" s="149">
        <f>Component_1!E59</f>
        <v>2007419.1770830066</v>
      </c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18"/>
    </row>
    <row r="50" spans="1:17">
      <c r="A50" s="10"/>
      <c r="B50" s="11"/>
      <c r="C50" s="154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18"/>
    </row>
    <row r="51" spans="1:17" s="23" customFormat="1">
      <c r="A51" s="19" t="s">
        <v>63</v>
      </c>
      <c r="B51" s="20" t="s">
        <v>68</v>
      </c>
      <c r="C51" s="155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118"/>
    </row>
    <row r="52" spans="1:17">
      <c r="A52" s="174"/>
      <c r="B52" s="66"/>
      <c r="C52" s="153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18"/>
    </row>
    <row r="53" spans="1:17">
      <c r="A53" s="174"/>
      <c r="B53" s="273" t="str">
        <f>Component_2!D23</f>
        <v>ICC and the African Court on Human and Peoples’ Rights</v>
      </c>
      <c r="C53" s="274">
        <f>Component_2!E28</f>
        <v>588789.86198366608</v>
      </c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8"/>
    </row>
    <row r="54" spans="1:17">
      <c r="A54" s="174"/>
      <c r="B54" s="66"/>
      <c r="C54" s="153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8"/>
    </row>
    <row r="55" spans="1:17">
      <c r="A55" s="174"/>
      <c r="B55" s="181" t="str">
        <f>Component_2!D30</f>
        <v>EAST TIMOR, reviewing ongoing needs</v>
      </c>
      <c r="C55" s="169">
        <f>Component_2!E36</f>
        <v>250000</v>
      </c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8"/>
    </row>
    <row r="56" spans="1:17">
      <c r="A56" s="174"/>
      <c r="B56" s="13"/>
      <c r="C56" s="153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18"/>
    </row>
    <row r="57" spans="1:17">
      <c r="A57" s="24" t="s">
        <v>65</v>
      </c>
      <c r="B57" s="25"/>
      <c r="C57" s="149">
        <f>Component_2!E38</f>
        <v>838789.86198366608</v>
      </c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8"/>
    </row>
    <row r="58" spans="1:17">
      <c r="A58" s="10"/>
      <c r="B58" s="11"/>
      <c r="C58" s="154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18"/>
    </row>
    <row r="59" spans="1:17">
      <c r="A59" s="19" t="s">
        <v>66</v>
      </c>
      <c r="B59" s="20" t="s">
        <v>67</v>
      </c>
      <c r="C59" s="155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18"/>
    </row>
    <row r="60" spans="1:17">
      <c r="A60" s="10"/>
      <c r="B60" s="68"/>
      <c r="C60" s="153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18"/>
    </row>
    <row r="61" spans="1:17">
      <c r="A61" s="38"/>
      <c r="B61" s="167" t="str">
        <f>Component_3!C32</f>
        <v>MOROCCO, Capacity Building in the Judiciary</v>
      </c>
      <c r="C61" s="178">
        <f>Component_3!D38</f>
        <v>800000.24132244405</v>
      </c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8"/>
    </row>
    <row r="62" spans="1:17">
      <c r="A62" s="10"/>
      <c r="B62" s="67"/>
      <c r="C62" s="170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8"/>
    </row>
    <row r="63" spans="1:17">
      <c r="A63" s="38"/>
      <c r="B63" s="167" t="s">
        <v>164</v>
      </c>
      <c r="C63" s="169">
        <f>Component_3!D69</f>
        <v>7517501</v>
      </c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8"/>
    </row>
    <row r="64" spans="1:17" s="23" customFormat="1">
      <c r="A64" s="21"/>
      <c r="B64" s="171"/>
      <c r="C64" s="157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18"/>
    </row>
    <row r="65" spans="1:17" s="23" customFormat="1">
      <c r="A65" s="21"/>
      <c r="B65" s="275" t="str">
        <f>Component_3!C71</f>
        <v>TUNISIA, Training of Tunisian Judges Part 2</v>
      </c>
      <c r="C65" s="274">
        <f>Component_3!D102</f>
        <v>4016250.5</v>
      </c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18"/>
    </row>
    <row r="66" spans="1:17" s="23" customFormat="1">
      <c r="A66" s="21"/>
      <c r="B66" s="171"/>
      <c r="C66" s="157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18"/>
    </row>
    <row r="67" spans="1:17">
      <c r="A67" s="38"/>
      <c r="B67" s="273" t="str">
        <f>Component_3!C104</f>
        <v>LIBYA Capacity Building 2013 Sida</v>
      </c>
      <c r="C67" s="274">
        <f>Component_3!D118</f>
        <v>3539193.2413224438</v>
      </c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8"/>
    </row>
    <row r="68" spans="1:17">
      <c r="A68" s="38"/>
      <c r="B68" s="324"/>
      <c r="C68" s="157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8"/>
    </row>
    <row r="69" spans="1:17">
      <c r="A69" s="38"/>
      <c r="B69" s="167" t="str">
        <f>Component_3!C120</f>
        <v>Women and leadership in the judiciary in the MENA region</v>
      </c>
      <c r="C69" s="169">
        <f>Component_3!D138</f>
        <v>862486.67302497278</v>
      </c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8"/>
    </row>
    <row r="70" spans="1:17">
      <c r="A70" s="38"/>
      <c r="B70" s="13"/>
      <c r="C70" s="154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8"/>
    </row>
    <row r="71" spans="1:17">
      <c r="A71" s="24" t="s">
        <v>75</v>
      </c>
      <c r="B71" s="25"/>
      <c r="C71" s="149">
        <f>Component_3!D140</f>
        <v>16735431.655669859</v>
      </c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18"/>
    </row>
    <row r="72" spans="1:17">
      <c r="A72" s="21"/>
      <c r="B72" s="22"/>
      <c r="C72" s="157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8"/>
    </row>
    <row r="73" spans="1:17">
      <c r="A73" s="24" t="s">
        <v>189</v>
      </c>
      <c r="B73" s="25"/>
      <c r="C73" s="149">
        <f>SUM(C49+C57+C71)</f>
        <v>19581640.694736533</v>
      </c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18"/>
    </row>
    <row r="74" spans="1:17">
      <c r="A74" s="21"/>
      <c r="B74" s="22"/>
      <c r="C74" s="157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8"/>
    </row>
    <row r="75" spans="1:17" ht="26">
      <c r="A75" s="32" t="s">
        <v>233</v>
      </c>
      <c r="B75" s="33"/>
      <c r="C75" s="158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8"/>
    </row>
    <row r="76" spans="1:17">
      <c r="A76" s="56"/>
      <c r="B76" s="57"/>
      <c r="C76" s="159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8"/>
    </row>
    <row r="77" spans="1:17">
      <c r="A77" s="38"/>
      <c r="B77" s="276" t="s">
        <v>76</v>
      </c>
      <c r="C77" s="169">
        <f>A_Membership!C37</f>
        <v>1375966.2066122203</v>
      </c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8"/>
    </row>
    <row r="78" spans="1:17">
      <c r="A78" s="38"/>
      <c r="B78" s="38"/>
      <c r="C78" s="153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8"/>
    </row>
    <row r="79" spans="1:17">
      <c r="A79" s="38"/>
      <c r="B79" s="277" t="s">
        <v>77</v>
      </c>
      <c r="C79" s="169">
        <f>B_Network!C33</f>
        <v>1275966.2066122203</v>
      </c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8"/>
    </row>
    <row r="80" spans="1:17">
      <c r="A80" s="38"/>
      <c r="B80" s="38"/>
      <c r="C80" s="153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8"/>
    </row>
    <row r="81" spans="1:17">
      <c r="A81" s="38"/>
      <c r="B81" s="276" t="s">
        <v>78</v>
      </c>
      <c r="C81" s="169">
        <f>C_Knowledge!C35</f>
        <v>627579.72396733216</v>
      </c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8"/>
    </row>
    <row r="82" spans="1:17">
      <c r="A82" s="38"/>
      <c r="B82" s="38"/>
      <c r="C82" s="156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18"/>
    </row>
    <row r="83" spans="1:17">
      <c r="A83" s="38"/>
      <c r="B83" s="278" t="s">
        <v>79</v>
      </c>
      <c r="C83" s="279">
        <f>D_Organisation!C42</f>
        <v>2077335.7925632186</v>
      </c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8"/>
    </row>
    <row r="84" spans="1:17">
      <c r="A84" s="38"/>
      <c r="B84" s="5"/>
      <c r="C84" s="156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18"/>
    </row>
    <row r="85" spans="1:17" ht="26">
      <c r="A85" s="24" t="s">
        <v>81</v>
      </c>
      <c r="B85" s="28"/>
      <c r="C85" s="149">
        <f>SUM(C77:C84)</f>
        <v>5356847.9297549911</v>
      </c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8"/>
    </row>
    <row r="86" spans="1:17">
      <c r="A86" s="38"/>
      <c r="B86" s="17"/>
      <c r="C86" s="153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18"/>
    </row>
    <row r="87" spans="1:17">
      <c r="A87" s="24" t="s">
        <v>13</v>
      </c>
      <c r="B87" s="28"/>
      <c r="C87" s="149">
        <f>SUM(C73+C85)</f>
        <v>24938488.624491524</v>
      </c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8"/>
    </row>
    <row r="88" spans="1:17">
      <c r="A88" s="10"/>
      <c r="B88" s="17"/>
      <c r="C88" s="154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8"/>
    </row>
    <row r="89" spans="1:17">
      <c r="A89" s="10" t="s">
        <v>15</v>
      </c>
      <c r="B89" s="17"/>
      <c r="C89" s="154">
        <f>SUM(C38-C87)</f>
        <v>-28056.624491523951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8"/>
    </row>
    <row r="90" spans="1:17">
      <c r="A90" s="38"/>
      <c r="B90" s="5"/>
      <c r="C90" s="156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8"/>
    </row>
  </sheetData>
  <mergeCells count="1">
    <mergeCell ref="A1:B1"/>
  </mergeCells>
  <phoneticPr fontId="1" type="noConversion"/>
  <pageMargins left="0.75" right="0.75" top="1" bottom="1" header="0.5" footer="0.5"/>
  <pageSetup paperSize="9" scale="21" fitToHeight="2" orientation="portrait" horizontalDpi="4294967292" verticalDpi="4294967292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Component_1!#REF!</xm:f>
          </x14:formula1>
          <xm:sqref>C49 C47</xm:sqref>
        </x14:dataValidation>
      </x14:dataValidations>
    </ex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A62"/>
  <sheetViews>
    <sheetView topLeftCell="A23" workbookViewId="0">
      <selection activeCell="D53" sqref="D53"/>
    </sheetView>
  </sheetViews>
  <sheetFormatPr baseColWidth="10" defaultRowHeight="15" x14ac:dyDescent="0"/>
  <cols>
    <col min="1" max="1" width="29.6640625" customWidth="1"/>
    <col min="4" max="4" width="13.83203125" bestFit="1" customWidth="1"/>
    <col min="5" max="5" width="13.83203125" customWidth="1"/>
    <col min="6" max="11" width="15.33203125" customWidth="1"/>
    <col min="12" max="12" width="15.5" customWidth="1"/>
    <col min="13" max="16" width="13.83203125" customWidth="1"/>
    <col min="17" max="17" width="15.83203125" style="18" customWidth="1"/>
    <col min="18" max="18" width="10.1640625" customWidth="1"/>
    <col min="20" max="20" width="10.83203125" style="18"/>
  </cols>
  <sheetData>
    <row r="2" spans="1:20" ht="23">
      <c r="A2" s="138" t="s">
        <v>176</v>
      </c>
    </row>
    <row r="4" spans="1:20">
      <c r="A4" s="69"/>
      <c r="B4" s="69"/>
      <c r="C4" s="70" t="s">
        <v>22</v>
      </c>
      <c r="D4" s="70"/>
      <c r="E4" s="70" t="s">
        <v>99</v>
      </c>
      <c r="F4" s="70" t="s">
        <v>152</v>
      </c>
      <c r="G4" s="70" t="s">
        <v>104</v>
      </c>
      <c r="H4" s="70" t="s">
        <v>100</v>
      </c>
      <c r="I4" s="70" t="s">
        <v>103</v>
      </c>
      <c r="J4" s="70" t="s">
        <v>101</v>
      </c>
      <c r="K4" s="70" t="s">
        <v>102</v>
      </c>
      <c r="L4" s="70" t="s">
        <v>98</v>
      </c>
      <c r="M4" s="70" t="s">
        <v>111</v>
      </c>
      <c r="N4" s="70" t="s">
        <v>112</v>
      </c>
      <c r="O4" s="70" t="s">
        <v>113</v>
      </c>
      <c r="P4" s="70" t="s">
        <v>114</v>
      </c>
      <c r="Q4" s="124" t="s">
        <v>23</v>
      </c>
      <c r="R4" s="71" t="s">
        <v>153</v>
      </c>
      <c r="S4" s="148"/>
      <c r="T4" s="123"/>
    </row>
    <row r="5" spans="1:20">
      <c r="A5" s="69"/>
      <c r="B5" s="69"/>
      <c r="C5" s="70">
        <v>2013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124"/>
      <c r="R5" s="72"/>
    </row>
    <row r="6" spans="1:20">
      <c r="A6" s="73"/>
      <c r="B6" s="6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79"/>
      <c r="R6" s="74"/>
    </row>
    <row r="7" spans="1:20">
      <c r="A7" s="95" t="s">
        <v>143</v>
      </c>
      <c r="B7" s="96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9"/>
      <c r="R7" s="98"/>
    </row>
    <row r="8" spans="1:20">
      <c r="A8" s="75" t="s">
        <v>25</v>
      </c>
      <c r="B8" s="69"/>
      <c r="C8" s="62">
        <f>'Staff 2013'!C11+'Staff 2013'!C17</f>
        <v>2894913.6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141">
        <f>SUM(E8:F8)</f>
        <v>0</v>
      </c>
      <c r="R8" s="77">
        <f>Q8/C8</f>
        <v>0</v>
      </c>
      <c r="S8" s="18"/>
    </row>
    <row r="9" spans="1:20">
      <c r="A9" s="75" t="s">
        <v>26</v>
      </c>
      <c r="B9" s="69"/>
      <c r="C9" s="62">
        <f>'Staff 2013'!C30+'Staff 2013'!C57</f>
        <v>767174.4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141">
        <f>SUM(E9:L9)</f>
        <v>0</v>
      </c>
      <c r="R9" s="77">
        <f>Q9/C9</f>
        <v>0</v>
      </c>
      <c r="S9" s="18"/>
    </row>
    <row r="10" spans="1:20">
      <c r="A10" s="75" t="s">
        <v>230</v>
      </c>
      <c r="B10" s="69"/>
      <c r="C10" s="62">
        <f>'Staff 2013'!C48</f>
        <v>625590.55811999994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141">
        <f>SUM(E10:F10)</f>
        <v>0</v>
      </c>
      <c r="R10" s="77">
        <f>Q10/C10</f>
        <v>0</v>
      </c>
      <c r="S10" s="18"/>
    </row>
    <row r="11" spans="1:20">
      <c r="A11" s="75" t="s">
        <v>97</v>
      </c>
      <c r="B11" s="69"/>
      <c r="C11" s="62">
        <f>'Staff 2013'!C40</f>
        <v>52000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141">
        <f>SUM(E11:F11)</f>
        <v>0</v>
      </c>
      <c r="R11" s="77">
        <f>Q11/C11</f>
        <v>0</v>
      </c>
      <c r="S11" s="18"/>
    </row>
    <row r="12" spans="1:20">
      <c r="A12" s="75" t="s">
        <v>93</v>
      </c>
      <c r="B12" s="69"/>
      <c r="C12" s="62">
        <f>'Staff 2013'!C42</f>
        <v>15000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141"/>
      <c r="R12" s="77"/>
      <c r="S12" s="18"/>
    </row>
    <row r="13" spans="1:20">
      <c r="A13" s="106" t="s">
        <v>27</v>
      </c>
      <c r="B13" s="107"/>
      <c r="C13" s="61"/>
      <c r="D13" s="108">
        <f>SUM(C8:C12)</f>
        <v>4354678.5581200002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42">
        <f>SUM(E13:F13)</f>
        <v>0</v>
      </c>
      <c r="R13" s="110">
        <f>Q13/D13</f>
        <v>0</v>
      </c>
      <c r="S13" s="18"/>
      <c r="T13" s="145"/>
    </row>
    <row r="14" spans="1:20">
      <c r="A14" s="78"/>
      <c r="B14" s="69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141"/>
      <c r="R14" s="81"/>
    </row>
    <row r="15" spans="1:20">
      <c r="A15" s="83"/>
      <c r="B15" s="69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141"/>
      <c r="R15" s="77"/>
    </row>
    <row r="16" spans="1:20">
      <c r="A16" s="95" t="s">
        <v>91</v>
      </c>
      <c r="B16" s="96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147"/>
      <c r="R16" s="101"/>
    </row>
    <row r="17" spans="1:18">
      <c r="A17" s="75" t="s">
        <v>28</v>
      </c>
      <c r="B17" s="69"/>
      <c r="C17" s="62">
        <f>28125*1.1*12</f>
        <v>371250.00000000006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141">
        <f>SUM(E17:L17)</f>
        <v>0</v>
      </c>
      <c r="R17" s="77">
        <f>Q17/C17</f>
        <v>0</v>
      </c>
    </row>
    <row r="18" spans="1:18">
      <c r="A18" s="75" t="s">
        <v>29</v>
      </c>
      <c r="B18" s="85"/>
      <c r="C18" s="62">
        <v>125000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141">
        <f>SUM(E18:L18)</f>
        <v>0</v>
      </c>
      <c r="R18" s="77">
        <f>Q18/C18</f>
        <v>0</v>
      </c>
    </row>
    <row r="19" spans="1:18">
      <c r="A19" s="75" t="s">
        <v>144</v>
      </c>
      <c r="B19" s="85"/>
      <c r="C19" s="62">
        <v>100000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141">
        <f>SUM(E19:F19)</f>
        <v>0</v>
      </c>
      <c r="R19" s="77">
        <f>Q19/C19</f>
        <v>0</v>
      </c>
    </row>
    <row r="20" spans="1:18">
      <c r="A20" s="75" t="s">
        <v>31</v>
      </c>
      <c r="B20" s="85"/>
      <c r="C20" s="62">
        <v>100000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141">
        <f>SUM(E20:L20)</f>
        <v>0</v>
      </c>
      <c r="R20" s="77">
        <f>Q20/C20</f>
        <v>0</v>
      </c>
    </row>
    <row r="21" spans="1:18">
      <c r="A21" s="75" t="s">
        <v>32</v>
      </c>
      <c r="B21" s="85"/>
      <c r="C21" s="62">
        <v>10000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141">
        <f>SUM(E21:F21)</f>
        <v>0</v>
      </c>
      <c r="R21" s="77">
        <f>Q21/C21</f>
        <v>0</v>
      </c>
    </row>
    <row r="22" spans="1:18">
      <c r="A22" s="106" t="s">
        <v>27</v>
      </c>
      <c r="B22" s="111"/>
      <c r="C22" s="61"/>
      <c r="D22" s="108">
        <f>SUM(C17:C21)</f>
        <v>706250</v>
      </c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42">
        <f>SUM(E22:F22)</f>
        <v>0</v>
      </c>
      <c r="R22" s="110">
        <f>Q22/D22</f>
        <v>0</v>
      </c>
    </row>
    <row r="23" spans="1:18">
      <c r="A23" s="78"/>
      <c r="B23" s="86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141"/>
      <c r="R23" s="146"/>
    </row>
    <row r="24" spans="1:18">
      <c r="A24" s="95" t="s">
        <v>33</v>
      </c>
      <c r="B24" s="102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147"/>
      <c r="R24" s="104"/>
    </row>
    <row r="25" spans="1:18">
      <c r="A25" s="75" t="s">
        <v>34</v>
      </c>
      <c r="B25" s="85"/>
      <c r="C25" s="62">
        <v>50000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141">
        <f>SUM(E25:F25)</f>
        <v>0</v>
      </c>
      <c r="R25" s="146">
        <f>Q25/C25</f>
        <v>0</v>
      </c>
    </row>
    <row r="26" spans="1:18">
      <c r="A26" s="75" t="s">
        <v>35</v>
      </c>
      <c r="B26" s="85"/>
      <c r="C26" s="62">
        <v>92000</v>
      </c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141">
        <f>SUM(E26:F26)</f>
        <v>0</v>
      </c>
      <c r="R26" s="146">
        <f>Q26/C26</f>
        <v>0</v>
      </c>
    </row>
    <row r="27" spans="1:18">
      <c r="A27" s="106" t="s">
        <v>27</v>
      </c>
      <c r="B27" s="111"/>
      <c r="C27" s="61"/>
      <c r="D27" s="108">
        <f>SUM(C25:C26)</f>
        <v>142000</v>
      </c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42">
        <f>SUM(E27:F27)</f>
        <v>0</v>
      </c>
      <c r="R27" s="113">
        <f>Q27/D27</f>
        <v>0</v>
      </c>
    </row>
    <row r="28" spans="1:18">
      <c r="A28" s="5"/>
      <c r="B28" s="5"/>
      <c r="C28" s="5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143"/>
      <c r="R28" s="77"/>
    </row>
    <row r="29" spans="1:18">
      <c r="A29" s="5"/>
      <c r="B29" s="5"/>
      <c r="C29" s="5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141"/>
      <c r="R29" s="77"/>
    </row>
    <row r="30" spans="1:18">
      <c r="A30" s="95" t="s">
        <v>36</v>
      </c>
      <c r="B30" s="10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147"/>
      <c r="R30" s="101"/>
    </row>
    <row r="31" spans="1:18">
      <c r="A31" s="75" t="s">
        <v>37</v>
      </c>
      <c r="B31" s="85"/>
      <c r="C31" s="62">
        <v>0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141"/>
      <c r="R31" s="81"/>
    </row>
    <row r="32" spans="1:18">
      <c r="A32" s="75" t="s">
        <v>38</v>
      </c>
      <c r="B32" s="85"/>
      <c r="C32" s="62">
        <v>0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141"/>
      <c r="R32" s="81"/>
    </row>
    <row r="33" spans="1:18">
      <c r="A33" s="75" t="s">
        <v>39</v>
      </c>
      <c r="B33" s="85"/>
      <c r="C33" s="62">
        <v>0</v>
      </c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141"/>
      <c r="R33" s="81"/>
    </row>
    <row r="34" spans="1:18">
      <c r="A34" s="106" t="s">
        <v>27</v>
      </c>
      <c r="B34" s="111"/>
      <c r="C34" s="61"/>
      <c r="D34" s="108">
        <f>SUM(C31:C33)</f>
        <v>0</v>
      </c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42"/>
      <c r="R34" s="110"/>
    </row>
    <row r="35" spans="1:18">
      <c r="A35" s="73"/>
      <c r="B35" s="87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141"/>
      <c r="R35" s="146"/>
    </row>
    <row r="36" spans="1:18">
      <c r="A36" s="95" t="s">
        <v>12</v>
      </c>
      <c r="B36" s="102"/>
      <c r="C36" s="97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147"/>
      <c r="R36" s="104"/>
    </row>
    <row r="37" spans="1:18">
      <c r="A37" s="5" t="s">
        <v>84</v>
      </c>
      <c r="B37" s="5"/>
      <c r="C37" s="5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141"/>
      <c r="R37" s="146"/>
    </row>
    <row r="38" spans="1:18">
      <c r="A38" s="5" t="s">
        <v>148</v>
      </c>
      <c r="B38" s="5"/>
      <c r="C38" s="5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141"/>
      <c r="R38" s="146"/>
    </row>
    <row r="39" spans="1:18">
      <c r="A39" s="5" t="s">
        <v>146</v>
      </c>
      <c r="B39" s="5"/>
      <c r="C39" s="5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141"/>
      <c r="R39" s="146"/>
    </row>
    <row r="40" spans="1:18">
      <c r="A40" s="5" t="s">
        <v>147</v>
      </c>
      <c r="B40" s="5"/>
      <c r="C40" s="5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141"/>
      <c r="R40" s="146"/>
    </row>
    <row r="41" spans="1:18">
      <c r="A41" s="114" t="s">
        <v>27</v>
      </c>
      <c r="B41" s="61"/>
      <c r="C41" s="61"/>
      <c r="D41" s="108">
        <v>0</v>
      </c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42"/>
      <c r="R41" s="110"/>
    </row>
    <row r="42" spans="1:18">
      <c r="A42" s="5"/>
      <c r="B42" s="5"/>
      <c r="C42" s="5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141"/>
      <c r="R42" s="146"/>
    </row>
    <row r="43" spans="1:18">
      <c r="A43" s="95" t="s">
        <v>145</v>
      </c>
      <c r="B43" s="102"/>
      <c r="C43" s="97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147"/>
      <c r="R43" s="104"/>
    </row>
    <row r="44" spans="1:18">
      <c r="A44" s="78"/>
      <c r="B44" s="86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141"/>
      <c r="R44" s="146"/>
    </row>
    <row r="45" spans="1:18">
      <c r="A45" s="5"/>
      <c r="B45" s="5"/>
      <c r="C45" s="5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141"/>
      <c r="R45" s="146"/>
    </row>
    <row r="46" spans="1:18">
      <c r="A46" s="114" t="s">
        <v>27</v>
      </c>
      <c r="B46" s="115"/>
      <c r="C46" s="116"/>
      <c r="D46" s="108">
        <v>60000</v>
      </c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42">
        <f>SUM(E46:F46)</f>
        <v>0</v>
      </c>
      <c r="R46" s="110">
        <f>Q46/D46</f>
        <v>0</v>
      </c>
    </row>
    <row r="47" spans="1:18">
      <c r="A47" s="69"/>
      <c r="B47" s="89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141"/>
      <c r="R47" s="79"/>
    </row>
    <row r="48" spans="1:18">
      <c r="A48" s="73"/>
      <c r="B48" s="87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141"/>
      <c r="R48" s="79"/>
    </row>
    <row r="49" spans="1:27">
      <c r="A49" s="73"/>
      <c r="B49" s="87"/>
      <c r="C49" s="62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141"/>
      <c r="R49" s="79"/>
    </row>
    <row r="50" spans="1:27">
      <c r="A50" s="69"/>
      <c r="B50" s="89"/>
      <c r="C50" s="62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141"/>
      <c r="R50" s="79"/>
    </row>
    <row r="51" spans="1:27">
      <c r="A51" s="5"/>
      <c r="B51" s="5"/>
      <c r="C51" s="5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141"/>
      <c r="R51" s="79"/>
    </row>
    <row r="52" spans="1:27">
      <c r="A52" s="69"/>
      <c r="B52" s="89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141"/>
      <c r="R52" s="69"/>
    </row>
    <row r="53" spans="1:27">
      <c r="A53" s="91" t="s">
        <v>41</v>
      </c>
      <c r="B53" s="92"/>
      <c r="C53" s="5"/>
      <c r="D53" s="93">
        <f>SUM(D8:D51)</f>
        <v>5262928.5581200002</v>
      </c>
      <c r="E53" s="93">
        <f>E13+E22+E27+E34+E41+E46</f>
        <v>0</v>
      </c>
      <c r="F53" s="93">
        <f>F13+F22+F27+F34+F41+F46</f>
        <v>0</v>
      </c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144">
        <f>Q13+Q22+Q27+Q34+Q41+Q46</f>
        <v>0</v>
      </c>
      <c r="R53" s="81">
        <f>Q53/D53</f>
        <v>0</v>
      </c>
    </row>
    <row r="54" spans="1:27">
      <c r="A54" s="78"/>
      <c r="B54" s="86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140"/>
      <c r="R54" s="69"/>
    </row>
    <row r="55" spans="1:27">
      <c r="A55" s="46"/>
      <c r="B55" s="52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47"/>
      <c r="R55" s="47"/>
    </row>
    <row r="56" spans="1:27">
      <c r="A56" s="225" t="s">
        <v>183</v>
      </c>
      <c r="B56" s="226"/>
      <c r="C56" s="227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49"/>
      <c r="R56" s="47"/>
    </row>
    <row r="57" spans="1:27">
      <c r="A57" s="225" t="s">
        <v>184</v>
      </c>
      <c r="B57" s="226"/>
      <c r="C57" s="227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49"/>
      <c r="R57" s="47"/>
    </row>
    <row r="58" spans="1:27">
      <c r="A58" s="228" t="s">
        <v>185</v>
      </c>
      <c r="B58" s="226"/>
      <c r="C58" s="227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47"/>
      <c r="R58" s="47"/>
    </row>
    <row r="59" spans="1:27">
      <c r="A59" s="229" t="s">
        <v>186</v>
      </c>
      <c r="B59" s="230"/>
      <c r="C59" s="230"/>
      <c r="Q59" s="47"/>
      <c r="R59" s="47"/>
    </row>
    <row r="60" spans="1:27">
      <c r="A60" s="228" t="s">
        <v>187</v>
      </c>
      <c r="B60" s="231">
        <v>6612</v>
      </c>
      <c r="C60" s="22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47"/>
      <c r="R60" s="47"/>
    </row>
    <row r="61" spans="1:27">
      <c r="A61" s="228"/>
      <c r="B61" s="231"/>
      <c r="C61" s="227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47"/>
      <c r="R61" s="47"/>
    </row>
    <row r="62" spans="1:27">
      <c r="A62" s="232" t="s">
        <v>188</v>
      </c>
      <c r="B62" s="231">
        <f>D53/B60</f>
        <v>795.96620661222028</v>
      </c>
      <c r="C62" s="233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</row>
  </sheetData>
  <phoneticPr fontId="14" type="noConversion"/>
  <pageMargins left="0.75" right="0.75" top="1" bottom="1" header="0.5" footer="0.5"/>
  <pageSetup paperSize="9" scale="28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F69"/>
  <sheetViews>
    <sheetView topLeftCell="A28" workbookViewId="0">
      <selection activeCell="H65" sqref="H65"/>
    </sheetView>
  </sheetViews>
  <sheetFormatPr baseColWidth="10" defaultRowHeight="15" x14ac:dyDescent="0"/>
  <cols>
    <col min="1" max="1" width="26.83203125" customWidth="1"/>
    <col min="2" max="2" width="18" bestFit="1" customWidth="1"/>
    <col min="3" max="3" width="24.1640625" customWidth="1"/>
    <col min="4" max="4" width="22" customWidth="1"/>
    <col min="6" max="6" width="21.83203125" customWidth="1"/>
  </cols>
  <sheetData>
    <row r="2" spans="1:5" ht="23">
      <c r="A2" s="136" t="s">
        <v>140</v>
      </c>
    </row>
    <row r="4" spans="1:5">
      <c r="A4" s="5"/>
      <c r="B4" s="5"/>
      <c r="C4" s="124" t="s">
        <v>43</v>
      </c>
      <c r="D4" s="62" t="s">
        <v>42</v>
      </c>
      <c r="E4" s="5"/>
    </row>
    <row r="5" spans="1:5">
      <c r="A5" s="5"/>
      <c r="B5" s="5"/>
      <c r="C5" s="125">
        <v>2013</v>
      </c>
      <c r="D5" s="5"/>
      <c r="E5" s="5"/>
    </row>
    <row r="6" spans="1:5">
      <c r="A6" s="5"/>
      <c r="B6" s="5"/>
      <c r="C6" s="5"/>
      <c r="D6" s="5"/>
      <c r="E6" s="5" t="s">
        <v>59</v>
      </c>
    </row>
    <row r="7" spans="1:5">
      <c r="A7" s="73" t="s">
        <v>44</v>
      </c>
      <c r="B7" s="126" t="s">
        <v>45</v>
      </c>
      <c r="C7" s="62">
        <f>SUM(D7*E7)</f>
        <v>1338950</v>
      </c>
      <c r="D7" s="74">
        <v>109750</v>
      </c>
      <c r="E7" s="127">
        <v>12.2</v>
      </c>
    </row>
    <row r="8" spans="1:5">
      <c r="A8" s="5"/>
      <c r="B8" s="126" t="s">
        <v>58</v>
      </c>
      <c r="C8" s="62">
        <f>SUM(D8*E8)</f>
        <v>488000</v>
      </c>
      <c r="D8" s="62">
        <v>40000</v>
      </c>
      <c r="E8" s="127">
        <v>12.2</v>
      </c>
    </row>
    <row r="9" spans="1:5">
      <c r="A9" s="5"/>
      <c r="B9" s="126" t="s">
        <v>46</v>
      </c>
      <c r="C9" s="62">
        <f>SUM(D9*E9)</f>
        <v>714163.6</v>
      </c>
      <c r="D9" s="62">
        <v>58538</v>
      </c>
      <c r="E9" s="127">
        <v>12.2</v>
      </c>
    </row>
    <row r="10" spans="1:5">
      <c r="A10" s="5"/>
      <c r="B10" s="126" t="s">
        <v>141</v>
      </c>
      <c r="C10" s="62">
        <f>SUM(D10*E10)</f>
        <v>353800</v>
      </c>
      <c r="D10" s="62">
        <v>29000</v>
      </c>
      <c r="E10" s="127">
        <v>12.2</v>
      </c>
    </row>
    <row r="11" spans="1:5">
      <c r="A11" s="78" t="s">
        <v>47</v>
      </c>
      <c r="B11" s="5"/>
      <c r="C11" s="79">
        <f>SUM(C7:C10)</f>
        <v>2894913.6</v>
      </c>
      <c r="E11" s="137"/>
    </row>
    <row r="12" spans="1:5">
      <c r="A12" s="5"/>
      <c r="B12" s="5"/>
      <c r="C12" s="5"/>
      <c r="D12" s="5"/>
      <c r="E12" s="5"/>
    </row>
    <row r="13" spans="1:5">
      <c r="A13" s="73" t="s">
        <v>48</v>
      </c>
      <c r="B13" s="128" t="s">
        <v>45</v>
      </c>
      <c r="C13" s="74">
        <v>0</v>
      </c>
      <c r="D13" s="69"/>
      <c r="E13" s="5"/>
    </row>
    <row r="14" spans="1:5">
      <c r="A14" s="5"/>
      <c r="B14" s="128" t="s">
        <v>58</v>
      </c>
      <c r="C14" s="74">
        <v>0</v>
      </c>
      <c r="D14" s="69"/>
      <c r="E14" s="5"/>
    </row>
    <row r="15" spans="1:5">
      <c r="A15" s="5"/>
      <c r="B15" s="128" t="s">
        <v>46</v>
      </c>
      <c r="C15" s="74">
        <v>0</v>
      </c>
      <c r="D15" s="69"/>
      <c r="E15" s="5"/>
    </row>
    <row r="16" spans="1:5">
      <c r="A16" s="5"/>
      <c r="B16" s="128" t="s">
        <v>141</v>
      </c>
      <c r="C16" s="74">
        <v>0</v>
      </c>
      <c r="D16" s="69"/>
      <c r="E16" s="5"/>
    </row>
    <row r="17" spans="1:5">
      <c r="A17" s="78" t="s">
        <v>47</v>
      </c>
      <c r="B17" s="5"/>
      <c r="C17" s="79">
        <f>SUM(C13:C16)</f>
        <v>0</v>
      </c>
      <c r="D17" s="5"/>
      <c r="E17" s="5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  <row r="22" spans="1:5">
      <c r="A22" s="73" t="s">
        <v>49</v>
      </c>
      <c r="B22" s="5"/>
      <c r="C22" s="62">
        <v>0</v>
      </c>
      <c r="D22" s="5"/>
      <c r="E22" s="5"/>
    </row>
    <row r="23" spans="1:5">
      <c r="A23" s="73"/>
      <c r="B23" s="5"/>
      <c r="C23" s="5">
        <v>0</v>
      </c>
      <c r="D23" s="5"/>
      <c r="E23" s="5"/>
    </row>
    <row r="24" spans="1:5">
      <c r="A24" s="78" t="s">
        <v>47</v>
      </c>
      <c r="B24" s="5"/>
      <c r="C24" s="79">
        <f>SUM(C22:C23)</f>
        <v>0</v>
      </c>
      <c r="D24" s="5"/>
      <c r="E24" s="5"/>
    </row>
    <row r="25" spans="1:5">
      <c r="A25" s="78"/>
      <c r="B25" s="5"/>
      <c r="C25" s="5"/>
      <c r="D25" s="5" t="s">
        <v>60</v>
      </c>
      <c r="E25" s="5" t="s">
        <v>61</v>
      </c>
    </row>
    <row r="26" spans="1:5">
      <c r="A26" s="73" t="s">
        <v>50</v>
      </c>
      <c r="B26" s="126" t="s">
        <v>45</v>
      </c>
      <c r="C26" s="62">
        <f>SUM(D26*E26)</f>
        <v>239364</v>
      </c>
      <c r="D26" s="74">
        <v>19947</v>
      </c>
      <c r="E26" s="62">
        <v>12</v>
      </c>
    </row>
    <row r="27" spans="1:5">
      <c r="A27" s="5"/>
      <c r="B27" s="126" t="s">
        <v>46</v>
      </c>
      <c r="C27" s="62">
        <f>SUM(D27*E27)</f>
        <v>139356</v>
      </c>
      <c r="D27" s="74">
        <v>11613</v>
      </c>
      <c r="E27" s="62">
        <v>12</v>
      </c>
    </row>
    <row r="28" spans="1:5">
      <c r="A28" s="5"/>
      <c r="B28" s="126" t="s">
        <v>58</v>
      </c>
      <c r="C28" s="62">
        <f>SUM(D28*E28)</f>
        <v>96000</v>
      </c>
      <c r="D28" s="74">
        <v>8000</v>
      </c>
      <c r="E28" s="62">
        <v>12</v>
      </c>
    </row>
    <row r="29" spans="1:5">
      <c r="A29" s="5"/>
      <c r="B29" s="126" t="s">
        <v>141</v>
      </c>
      <c r="C29" s="62">
        <f>SUM(D29*E29)</f>
        <v>30000</v>
      </c>
      <c r="D29" s="74">
        <v>2500</v>
      </c>
      <c r="E29" s="62">
        <v>12</v>
      </c>
    </row>
    <row r="30" spans="1:5">
      <c r="A30" s="78" t="s">
        <v>47</v>
      </c>
      <c r="B30" s="5"/>
      <c r="C30" s="79">
        <f>SUM(C26:C29)</f>
        <v>504720</v>
      </c>
      <c r="D30" s="62"/>
      <c r="E30" s="5"/>
    </row>
    <row r="31" spans="1:5">
      <c r="A31" s="78"/>
      <c r="B31" s="5"/>
      <c r="C31" s="79"/>
      <c r="D31" s="62"/>
      <c r="E31" s="5"/>
    </row>
    <row r="32" spans="1:5">
      <c r="A32" s="78" t="s">
        <v>94</v>
      </c>
      <c r="B32" s="5"/>
      <c r="C32" s="79"/>
      <c r="D32" s="62"/>
      <c r="E32" s="5"/>
    </row>
    <row r="33" spans="1:6">
      <c r="A33" s="78"/>
      <c r="B33" s="129" t="s">
        <v>45</v>
      </c>
      <c r="C33" s="74">
        <f>SUM(D33*E33)</f>
        <v>0</v>
      </c>
      <c r="D33" s="5">
        <v>0</v>
      </c>
      <c r="E33" s="5">
        <v>0</v>
      </c>
    </row>
    <row r="34" spans="1:6">
      <c r="A34" s="78"/>
      <c r="B34" s="129" t="s">
        <v>58</v>
      </c>
      <c r="C34" s="74">
        <v>0</v>
      </c>
      <c r="D34" s="62">
        <v>0</v>
      </c>
      <c r="E34" s="5">
        <v>0</v>
      </c>
    </row>
    <row r="35" spans="1:6">
      <c r="A35" s="78"/>
      <c r="B35" s="129" t="s">
        <v>46</v>
      </c>
      <c r="C35" s="74">
        <f>SUM(D35*E35)</f>
        <v>0</v>
      </c>
      <c r="D35" s="62">
        <v>0</v>
      </c>
      <c r="E35" s="5">
        <v>0</v>
      </c>
    </row>
    <row r="36" spans="1:6">
      <c r="A36" s="78"/>
      <c r="B36" s="129" t="s">
        <v>141</v>
      </c>
      <c r="C36" s="74">
        <v>0</v>
      </c>
      <c r="D36" s="62">
        <v>0</v>
      </c>
      <c r="E36" s="5">
        <v>0</v>
      </c>
    </row>
    <row r="37" spans="1:6">
      <c r="A37" s="78" t="s">
        <v>47</v>
      </c>
      <c r="B37" s="5"/>
      <c r="C37" s="79">
        <f>SUM(C33:C35)</f>
        <v>0</v>
      </c>
      <c r="D37" s="62"/>
      <c r="E37" s="5"/>
    </row>
    <row r="38" spans="1:6">
      <c r="A38" s="78"/>
      <c r="B38" s="5"/>
      <c r="C38" s="79"/>
      <c r="D38" s="62"/>
      <c r="E38" s="5"/>
    </row>
    <row r="39" spans="1:6">
      <c r="A39" s="5"/>
      <c r="B39" s="5"/>
      <c r="C39" s="5"/>
      <c r="D39" s="137" t="s">
        <v>229</v>
      </c>
      <c r="E39" s="5"/>
    </row>
    <row r="40" spans="1:6">
      <c r="A40" s="73" t="s">
        <v>51</v>
      </c>
      <c r="B40" s="5"/>
      <c r="C40" s="79">
        <f>SUM(D40*E40)</f>
        <v>52000</v>
      </c>
      <c r="D40" s="5">
        <v>4</v>
      </c>
      <c r="E40" s="5">
        <v>13000</v>
      </c>
      <c r="F40" s="45"/>
    </row>
    <row r="41" spans="1:6">
      <c r="A41" s="73"/>
      <c r="B41" s="5"/>
      <c r="C41" s="5"/>
      <c r="D41" s="5"/>
      <c r="E41" s="5"/>
    </row>
    <row r="42" spans="1:6">
      <c r="A42" s="73" t="s">
        <v>52</v>
      </c>
      <c r="B42" s="5"/>
      <c r="C42" s="79">
        <v>15000</v>
      </c>
      <c r="D42" s="5"/>
      <c r="E42" s="5"/>
    </row>
    <row r="43" spans="1:6">
      <c r="A43" s="5"/>
      <c r="B43" s="5"/>
      <c r="C43" s="5"/>
      <c r="D43" s="5"/>
      <c r="E43" s="5"/>
    </row>
    <row r="44" spans="1:6">
      <c r="A44" s="73" t="s">
        <v>53</v>
      </c>
      <c r="B44" s="126" t="s">
        <v>45</v>
      </c>
      <c r="C44" s="74">
        <f>SUM(D7*E7*D44)</f>
        <v>136706.79499999998</v>
      </c>
      <c r="D44" s="130">
        <v>0.1021</v>
      </c>
      <c r="E44" s="5"/>
    </row>
    <row r="45" spans="1:6">
      <c r="A45" s="73"/>
      <c r="B45" s="126" t="s">
        <v>58</v>
      </c>
      <c r="C45" s="74">
        <f>SUM(D8*E8*D45)</f>
        <v>153329.59999999998</v>
      </c>
      <c r="D45" s="131">
        <v>0.31419999999999998</v>
      </c>
      <c r="E45" s="5"/>
    </row>
    <row r="46" spans="1:6">
      <c r="A46" s="73"/>
      <c r="B46" s="128" t="s">
        <v>46</v>
      </c>
      <c r="C46" s="132">
        <f>SUM(D9*E9*D46)</f>
        <v>224390.20311999999</v>
      </c>
      <c r="D46" s="131">
        <v>0.31419999999999998</v>
      </c>
      <c r="E46" s="5"/>
    </row>
    <row r="47" spans="1:6">
      <c r="A47" s="73"/>
      <c r="B47" s="128" t="s">
        <v>141</v>
      </c>
      <c r="C47" s="132">
        <f>SUM(D10*E10*D47)</f>
        <v>111163.95999999999</v>
      </c>
      <c r="D47" s="131">
        <v>0.31419999999999998</v>
      </c>
      <c r="E47" s="5"/>
    </row>
    <row r="48" spans="1:6">
      <c r="A48" s="78" t="s">
        <v>47</v>
      </c>
      <c r="B48" s="128"/>
      <c r="C48" s="133">
        <f>SUM(C44:C47)</f>
        <v>625590.55811999994</v>
      </c>
      <c r="D48" s="131"/>
      <c r="E48" s="5"/>
    </row>
    <row r="49" spans="1:5">
      <c r="A49" s="73"/>
      <c r="B49" s="128"/>
      <c r="C49" s="133"/>
      <c r="D49" s="131"/>
      <c r="E49" s="5"/>
    </row>
    <row r="50" spans="1:5">
      <c r="A50" s="73" t="s">
        <v>89</v>
      </c>
      <c r="B50" s="128"/>
      <c r="C50" s="133"/>
      <c r="D50" s="131"/>
      <c r="E50" s="5"/>
    </row>
    <row r="51" spans="1:5">
      <c r="A51" s="73"/>
      <c r="B51" s="128" t="s">
        <v>45</v>
      </c>
      <c r="C51" s="132">
        <f>SUM(C13*D51)</f>
        <v>0</v>
      </c>
      <c r="D51" s="130">
        <v>0.1021</v>
      </c>
      <c r="E51" s="5"/>
    </row>
    <row r="52" spans="1:5">
      <c r="A52" s="73"/>
      <c r="B52" s="128" t="s">
        <v>58</v>
      </c>
      <c r="C52" s="132">
        <f>SUM(C14*D52)</f>
        <v>0</v>
      </c>
      <c r="D52" s="131">
        <v>0.31419999999999998</v>
      </c>
      <c r="E52" s="5"/>
    </row>
    <row r="53" spans="1:5">
      <c r="A53" s="73"/>
      <c r="B53" s="128" t="s">
        <v>46</v>
      </c>
      <c r="C53" s="132">
        <f>SUM(C15*D53)</f>
        <v>0</v>
      </c>
      <c r="D53" s="131">
        <v>0.31419999999999998</v>
      </c>
      <c r="E53" s="5"/>
    </row>
    <row r="54" spans="1:5">
      <c r="A54" s="73"/>
      <c r="B54" s="128" t="s">
        <v>141</v>
      </c>
      <c r="C54" s="133"/>
      <c r="D54" s="131"/>
      <c r="E54" s="5"/>
    </row>
    <row r="55" spans="1:5">
      <c r="A55" s="78" t="s">
        <v>47</v>
      </c>
      <c r="B55" s="128"/>
      <c r="C55" s="133">
        <f>SUM(C51:C53)</f>
        <v>0</v>
      </c>
      <c r="D55" s="131"/>
      <c r="E55" s="5"/>
    </row>
    <row r="56" spans="1:5">
      <c r="A56" s="73"/>
      <c r="B56" s="128"/>
      <c r="C56" s="133"/>
      <c r="D56" s="131"/>
      <c r="E56" s="5"/>
    </row>
    <row r="57" spans="1:5">
      <c r="A57" s="73" t="s">
        <v>54</v>
      </c>
      <c r="B57" s="5"/>
      <c r="C57" s="133">
        <f>SUM(C26:C30)*D57</f>
        <v>262454.40000000002</v>
      </c>
      <c r="D57" s="131">
        <v>0.26</v>
      </c>
      <c r="E57" s="5"/>
    </row>
    <row r="58" spans="1:5">
      <c r="A58" s="73"/>
      <c r="B58" s="5"/>
      <c r="C58" s="133"/>
      <c r="D58" s="131"/>
      <c r="E58" s="5"/>
    </row>
    <row r="59" spans="1:5">
      <c r="A59" s="73" t="s">
        <v>90</v>
      </c>
      <c r="B59" s="5"/>
      <c r="C59" s="133">
        <f>SUM(C33:C36)*D59</f>
        <v>0</v>
      </c>
      <c r="D59" s="131">
        <v>0.26</v>
      </c>
      <c r="E59" s="5"/>
    </row>
    <row r="60" spans="1:5">
      <c r="A60" s="73"/>
      <c r="B60" s="128"/>
      <c r="C60" s="133"/>
      <c r="D60" s="131"/>
      <c r="E60" s="5"/>
    </row>
    <row r="61" spans="1:5">
      <c r="A61" s="73"/>
      <c r="B61" s="128"/>
      <c r="C61" s="133"/>
      <c r="D61" s="131"/>
      <c r="E61" s="5"/>
    </row>
    <row r="62" spans="1:5">
      <c r="A62" s="73"/>
      <c r="B62" s="128"/>
      <c r="C62" s="133"/>
      <c r="D62" s="131"/>
      <c r="E62" s="5"/>
    </row>
    <row r="63" spans="1:5">
      <c r="A63" s="176"/>
      <c r="B63" s="128"/>
      <c r="C63" s="133"/>
      <c r="D63" s="131"/>
      <c r="E63" s="5"/>
    </row>
    <row r="64" spans="1:5">
      <c r="A64" s="73"/>
      <c r="B64" s="128"/>
      <c r="C64" s="133"/>
      <c r="D64" s="131"/>
      <c r="E64" s="5"/>
    </row>
    <row r="65" spans="1:5">
      <c r="A65" s="73"/>
      <c r="B65" s="5"/>
      <c r="C65" s="133"/>
      <c r="D65" s="131"/>
      <c r="E65" s="5"/>
    </row>
    <row r="66" spans="1:5">
      <c r="A66" s="69" t="s">
        <v>55</v>
      </c>
      <c r="B66" s="5"/>
      <c r="C66" s="5"/>
      <c r="D66" s="5"/>
      <c r="E66" s="5"/>
    </row>
    <row r="67" spans="1:5">
      <c r="A67" s="134" t="s">
        <v>56</v>
      </c>
      <c r="B67" s="5"/>
      <c r="C67" s="93">
        <f>SUM(C11+C17+C24+C30+C37+C40+C42+C48+C55+C57+C59+C63)</f>
        <v>4354678.5581200002</v>
      </c>
      <c r="D67" s="5"/>
      <c r="E67" s="5"/>
    </row>
    <row r="68" spans="1:5">
      <c r="A68" s="135" t="s">
        <v>57</v>
      </c>
      <c r="B68" s="5"/>
      <c r="C68" s="5"/>
      <c r="D68" s="5"/>
      <c r="E68" s="5"/>
    </row>
    <row r="69" spans="1:5">
      <c r="A69" s="5"/>
      <c r="B69" s="5"/>
      <c r="C69" s="5"/>
      <c r="D69" s="5"/>
      <c r="E69" s="5"/>
    </row>
  </sheetData>
  <phoneticPr fontId="17" type="noConversion"/>
  <pageMargins left="0.75" right="0.75" top="1" bottom="1" header="0.5" footer="0.5"/>
  <pageSetup paperSize="9" scale="66" fitToWidth="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57"/>
  <sheetViews>
    <sheetView workbookViewId="0">
      <selection activeCell="A62" sqref="A62"/>
    </sheetView>
  </sheetViews>
  <sheetFormatPr baseColWidth="10" defaultRowHeight="15" x14ac:dyDescent="0"/>
  <cols>
    <col min="1" max="1" width="49.5" customWidth="1"/>
  </cols>
  <sheetData>
    <row r="1" spans="1:7" ht="34" customHeight="1">
      <c r="A1" s="251" t="s">
        <v>231</v>
      </c>
      <c r="B1" s="5"/>
      <c r="C1" s="5"/>
    </row>
    <row r="2" spans="1:7" ht="34" customHeight="1">
      <c r="A2" s="251"/>
      <c r="B2" s="5"/>
      <c r="C2" s="5"/>
    </row>
    <row r="3" spans="1:7">
      <c r="A3" s="150" t="s">
        <v>232</v>
      </c>
      <c r="B3" s="62"/>
      <c r="C3" s="5"/>
    </row>
    <row r="4" spans="1:7">
      <c r="A4" s="254" t="s">
        <v>214</v>
      </c>
      <c r="B4" s="62">
        <f>Component_1!E15</f>
        <v>598419</v>
      </c>
      <c r="C4" s="5"/>
    </row>
    <row r="5" spans="1:7">
      <c r="A5" s="254" t="s">
        <v>215</v>
      </c>
      <c r="B5" s="62">
        <f>Component_2!E13</f>
        <v>688790</v>
      </c>
      <c r="C5" s="5"/>
    </row>
    <row r="6" spans="1:7">
      <c r="A6" s="254" t="s">
        <v>216</v>
      </c>
      <c r="B6" s="62">
        <f>Component_3!D24</f>
        <v>0</v>
      </c>
      <c r="C6" s="5"/>
    </row>
    <row r="7" spans="1:7">
      <c r="A7" s="254" t="s">
        <v>220</v>
      </c>
      <c r="B7" s="62">
        <f>A_Membership!C14</f>
        <v>1375966</v>
      </c>
      <c r="C7" s="5"/>
    </row>
    <row r="8" spans="1:7">
      <c r="A8" s="254" t="s">
        <v>221</v>
      </c>
      <c r="B8" s="62">
        <f>B_Network!C14</f>
        <v>1275966</v>
      </c>
      <c r="C8" s="5"/>
    </row>
    <row r="9" spans="1:7">
      <c r="A9" s="254" t="s">
        <v>222</v>
      </c>
      <c r="B9" s="62">
        <f>C_Knowledge!C14</f>
        <v>627580</v>
      </c>
      <c r="C9" s="5"/>
    </row>
    <row r="10" spans="1:7">
      <c r="A10" s="254" t="s">
        <v>223</v>
      </c>
      <c r="B10" s="62">
        <f>D_Organisation!C14</f>
        <v>2077336</v>
      </c>
      <c r="C10" s="5"/>
    </row>
    <row r="11" spans="1:7">
      <c r="A11" s="150" t="s">
        <v>86</v>
      </c>
      <c r="B11" s="255">
        <f>SUM(B4:B10)</f>
        <v>6644057</v>
      </c>
      <c r="C11" s="5"/>
      <c r="E11" s="18"/>
      <c r="G11" s="18"/>
    </row>
    <row r="12" spans="1:7">
      <c r="A12" s="5"/>
      <c r="B12" s="5"/>
      <c r="C12" s="5"/>
    </row>
    <row r="13" spans="1:7">
      <c r="A13" s="252" t="s">
        <v>210</v>
      </c>
      <c r="B13" s="62">
        <v>6000000</v>
      </c>
      <c r="C13" s="5"/>
    </row>
    <row r="14" spans="1:7">
      <c r="A14" s="252" t="s">
        <v>211</v>
      </c>
      <c r="B14" s="62">
        <v>600000</v>
      </c>
      <c r="C14" s="5"/>
    </row>
    <row r="15" spans="1:7">
      <c r="A15" s="38" t="s">
        <v>244</v>
      </c>
      <c r="B15" s="62">
        <v>56000</v>
      </c>
      <c r="C15" s="5"/>
    </row>
    <row r="16" spans="1:7">
      <c r="A16" s="38"/>
      <c r="B16" s="5"/>
      <c r="C16" s="5"/>
    </row>
    <row r="17" spans="1:3">
      <c r="A17" s="252" t="s">
        <v>209</v>
      </c>
      <c r="B17" s="62">
        <f>(B13+B14+B15-B11)</f>
        <v>11943</v>
      </c>
      <c r="C17" s="5"/>
    </row>
    <row r="18" spans="1:3">
      <c r="A18" s="38"/>
      <c r="B18" s="5"/>
      <c r="C18" s="5"/>
    </row>
    <row r="21" spans="1:3">
      <c r="A21" s="311" t="s">
        <v>228</v>
      </c>
      <c r="B21" s="5"/>
      <c r="C21" s="5"/>
    </row>
    <row r="22" spans="1:3">
      <c r="A22" s="312"/>
      <c r="B22" s="5"/>
      <c r="C22" s="5"/>
    </row>
    <row r="23" spans="1:3">
      <c r="A23" s="311" t="s">
        <v>214</v>
      </c>
      <c r="B23" s="5" t="s">
        <v>226</v>
      </c>
      <c r="C23" s="5" t="s">
        <v>227</v>
      </c>
    </row>
    <row r="24" spans="1:3">
      <c r="A24" s="313" t="s">
        <v>2</v>
      </c>
      <c r="B24" s="5"/>
      <c r="C24" s="5"/>
    </row>
    <row r="25" spans="1:3">
      <c r="A25" s="314" t="str">
        <f>Component_1!D26</f>
        <v>LIBYA, Rule of Law Priorities</v>
      </c>
      <c r="B25" s="166">
        <v>0</v>
      </c>
      <c r="C25" s="166">
        <f>B25*796</f>
        <v>0</v>
      </c>
    </row>
    <row r="26" spans="1:3">
      <c r="A26" s="314" t="str">
        <f>Component_1!D44</f>
        <v>MOROCCO Training of Judges</v>
      </c>
      <c r="B26" s="166">
        <v>157</v>
      </c>
      <c r="C26" s="166">
        <f>B26*796</f>
        <v>124972</v>
      </c>
    </row>
    <row r="27" spans="1:3">
      <c r="A27" s="316" t="s">
        <v>3</v>
      </c>
      <c r="B27" s="175"/>
      <c r="C27" s="175"/>
    </row>
    <row r="28" spans="1:3">
      <c r="A28" s="314" t="str">
        <f>Component_1!D51</f>
        <v>BURMA Rule of Law Priorities</v>
      </c>
      <c r="B28" s="166">
        <v>400</v>
      </c>
      <c r="C28" s="166">
        <f>B28*796</f>
        <v>318400</v>
      </c>
    </row>
    <row r="29" spans="1:3">
      <c r="A29" s="312"/>
      <c r="B29" s="62"/>
      <c r="C29" s="62"/>
    </row>
    <row r="30" spans="1:3">
      <c r="A30" s="311" t="s">
        <v>215</v>
      </c>
      <c r="B30" s="62"/>
      <c r="C30" s="62"/>
    </row>
    <row r="31" spans="1:3">
      <c r="A31" s="313" t="s">
        <v>3</v>
      </c>
      <c r="B31" s="62"/>
      <c r="C31" s="62"/>
    </row>
    <row r="32" spans="1:3">
      <c r="A32" s="315" t="str">
        <f>Component_2!D23</f>
        <v>ICC and the African Court on Human and Peoples’ Rights</v>
      </c>
      <c r="B32" s="256">
        <v>300</v>
      </c>
      <c r="C32" s="256">
        <f>B32*796</f>
        <v>238800</v>
      </c>
    </row>
    <row r="33" spans="1:3">
      <c r="A33" s="314" t="str">
        <f>Component_2!D30</f>
        <v>EAST TIMOR, reviewing ongoing needs</v>
      </c>
      <c r="B33" s="166">
        <v>240</v>
      </c>
      <c r="C33" s="166">
        <f>B33*796</f>
        <v>191040</v>
      </c>
    </row>
    <row r="34" spans="1:3">
      <c r="A34" s="312"/>
      <c r="B34" s="62"/>
      <c r="C34" s="62"/>
    </row>
    <row r="35" spans="1:3">
      <c r="A35" s="311" t="s">
        <v>216</v>
      </c>
      <c r="B35" s="62"/>
      <c r="C35" s="62"/>
    </row>
    <row r="36" spans="1:3">
      <c r="A36" s="313" t="s">
        <v>2</v>
      </c>
      <c r="B36" s="62"/>
      <c r="C36" s="62"/>
    </row>
    <row r="37" spans="1:3">
      <c r="A37" s="314" t="str">
        <f>Component_3!C32</f>
        <v>MOROCCO, Capacity Building in the Judiciary</v>
      </c>
      <c r="B37" s="166">
        <v>200</v>
      </c>
      <c r="C37" s="166">
        <f>B37*796</f>
        <v>159200</v>
      </c>
    </row>
    <row r="38" spans="1:3">
      <c r="A38" s="314" t="str">
        <f>Component_3!C40</f>
        <v>TUNISIA, Training of Tunisian Judges Part 1</v>
      </c>
      <c r="B38" s="166">
        <v>251</v>
      </c>
      <c r="C38" s="166">
        <f>B38*796</f>
        <v>199796</v>
      </c>
    </row>
    <row r="39" spans="1:3">
      <c r="A39" s="315" t="str">
        <f>Component_3!C71</f>
        <v>TUNISIA, Training of Tunisian Judges Part 2</v>
      </c>
      <c r="B39" s="256">
        <v>226</v>
      </c>
      <c r="C39" s="256">
        <f>B39*796</f>
        <v>179896</v>
      </c>
    </row>
    <row r="40" spans="1:3">
      <c r="A40" s="315" t="str">
        <f>Component_3!C104</f>
        <v>LIBYA Capacity Building 2013 Sida</v>
      </c>
      <c r="B40" s="256">
        <v>200</v>
      </c>
      <c r="C40" s="256">
        <f>B40*796</f>
        <v>159200</v>
      </c>
    </row>
    <row r="41" spans="1:3">
      <c r="A41" s="314" t="str">
        <f>Component_3!C120</f>
        <v>Women and leadership in the judiciary in the MENA region</v>
      </c>
      <c r="B41" s="166">
        <v>138</v>
      </c>
      <c r="C41" s="166">
        <f>B41*796</f>
        <v>109848</v>
      </c>
    </row>
    <row r="42" spans="1:3">
      <c r="A42" s="312"/>
      <c r="B42" s="62"/>
      <c r="C42" s="62"/>
    </row>
    <row r="43" spans="1:3">
      <c r="A43" s="311" t="s">
        <v>220</v>
      </c>
      <c r="B43" s="62">
        <v>1000</v>
      </c>
      <c r="C43" s="62">
        <f>B43*796</f>
        <v>796000</v>
      </c>
    </row>
    <row r="44" spans="1:3">
      <c r="A44" s="311" t="s">
        <v>221</v>
      </c>
      <c r="B44" s="62">
        <v>1000</v>
      </c>
      <c r="C44" s="62">
        <f>B44*796</f>
        <v>796000</v>
      </c>
    </row>
    <row r="45" spans="1:3">
      <c r="A45" s="311" t="s">
        <v>222</v>
      </c>
      <c r="B45" s="62">
        <v>600</v>
      </c>
      <c r="C45" s="62">
        <f>B45*796</f>
        <v>477600</v>
      </c>
    </row>
    <row r="46" spans="1:3">
      <c r="A46" s="311" t="s">
        <v>223</v>
      </c>
      <c r="B46" s="62">
        <v>2038</v>
      </c>
      <c r="C46" s="62">
        <f>B46*796</f>
        <v>1622248</v>
      </c>
    </row>
    <row r="47" spans="1:3">
      <c r="A47" s="312"/>
      <c r="B47" s="62"/>
      <c r="C47" s="62"/>
    </row>
    <row r="48" spans="1:3">
      <c r="A48" s="311" t="s">
        <v>224</v>
      </c>
      <c r="B48" s="62">
        <f>SUM(B23:B47)</f>
        <v>6750</v>
      </c>
      <c r="C48" s="62">
        <f>SUM(C25:C46)</f>
        <v>5373000</v>
      </c>
    </row>
    <row r="49" spans="1:3">
      <c r="A49" s="5"/>
      <c r="B49" s="62">
        <f>B48-B55</f>
        <v>138</v>
      </c>
      <c r="C49" s="62"/>
    </row>
    <row r="51" spans="1:3">
      <c r="A51" s="257" t="s">
        <v>183</v>
      </c>
      <c r="B51" s="258"/>
      <c r="C51" s="259"/>
    </row>
    <row r="52" spans="1:3">
      <c r="A52" s="257" t="s">
        <v>184</v>
      </c>
      <c r="B52" s="258"/>
      <c r="C52" s="259"/>
    </row>
    <row r="53" spans="1:3">
      <c r="A53" s="260" t="s">
        <v>185</v>
      </c>
      <c r="B53" s="258"/>
      <c r="C53" s="259"/>
    </row>
    <row r="54" spans="1:3">
      <c r="A54" s="261" t="s">
        <v>186</v>
      </c>
      <c r="B54" s="262"/>
      <c r="C54" s="262"/>
    </row>
    <row r="55" spans="1:3">
      <c r="A55" s="260" t="s">
        <v>187</v>
      </c>
      <c r="B55" s="263">
        <v>6612</v>
      </c>
      <c r="C55" s="259"/>
    </row>
    <row r="56" spans="1:3">
      <c r="A56" s="260"/>
      <c r="B56" s="263"/>
      <c r="C56" s="259"/>
    </row>
    <row r="57" spans="1:3">
      <c r="A57" s="264" t="s">
        <v>188</v>
      </c>
      <c r="B57" s="263">
        <f>(Staff_and_Office_2013!D53/B55)</f>
        <v>795.96620661222028</v>
      </c>
      <c r="C57" s="265"/>
    </row>
  </sheetData>
  <phoneticPr fontId="46" type="noConversion"/>
  <pageMargins left="0.75" right="0.75" top="1" bottom="1" header="0.5" footer="0.5"/>
  <pageSetup paperSize="9" scale="78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63"/>
  <sheetViews>
    <sheetView tabSelected="1" topLeftCell="A15" workbookViewId="0">
      <selection activeCell="D32" sqref="D32"/>
    </sheetView>
  </sheetViews>
  <sheetFormatPr baseColWidth="10" defaultRowHeight="15" x14ac:dyDescent="0"/>
  <cols>
    <col min="1" max="1" width="31.33203125" style="41" customWidth="1"/>
    <col min="2" max="2" width="8.6640625" style="416" customWidth="1"/>
    <col min="3" max="3" width="12.6640625" style="41" customWidth="1"/>
    <col min="4" max="4" width="63" style="209" customWidth="1"/>
    <col min="5" max="5" width="23.1640625" customWidth="1"/>
    <col min="6" max="18" width="20.1640625" customWidth="1"/>
    <col min="19" max="19" width="21.6640625" customWidth="1"/>
    <col min="21" max="21" width="16.5" customWidth="1"/>
  </cols>
  <sheetData>
    <row r="1" spans="1:22" ht="30" customHeight="1">
      <c r="A1" s="423" t="s">
        <v>234</v>
      </c>
      <c r="B1" s="423"/>
      <c r="C1" s="423"/>
      <c r="D1" s="423"/>
    </row>
    <row r="3" spans="1:22">
      <c r="A3" s="10" t="s">
        <v>1</v>
      </c>
      <c r="B3" s="404"/>
      <c r="C3" s="10"/>
      <c r="D3" s="295" t="s">
        <v>161</v>
      </c>
      <c r="E3" s="12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1:22">
      <c r="A4" s="10"/>
      <c r="B4" s="405"/>
      <c r="C4" s="185"/>
      <c r="D4" s="296" t="s">
        <v>10</v>
      </c>
      <c r="E4" s="12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T4" s="18"/>
    </row>
    <row r="5" spans="1:22">
      <c r="A5" s="19" t="s">
        <v>2</v>
      </c>
      <c r="B5" s="406"/>
      <c r="C5" s="19"/>
      <c r="D5" s="196"/>
      <c r="E5" s="29"/>
      <c r="F5" s="152" t="s">
        <v>99</v>
      </c>
      <c r="G5" s="152" t="s">
        <v>152</v>
      </c>
      <c r="H5" s="152" t="s">
        <v>104</v>
      </c>
      <c r="I5" s="152" t="s">
        <v>100</v>
      </c>
      <c r="J5" s="152" t="s">
        <v>103</v>
      </c>
      <c r="K5" s="152" t="s">
        <v>101</v>
      </c>
      <c r="L5" s="152" t="s">
        <v>102</v>
      </c>
      <c r="M5" s="152" t="s">
        <v>105</v>
      </c>
      <c r="N5" s="152" t="s">
        <v>106</v>
      </c>
      <c r="O5" s="152" t="s">
        <v>107</v>
      </c>
      <c r="P5" s="152" t="s">
        <v>108</v>
      </c>
      <c r="Q5" s="152" t="s">
        <v>109</v>
      </c>
      <c r="R5" s="152" t="s">
        <v>110</v>
      </c>
      <c r="T5" s="18"/>
    </row>
    <row r="6" spans="1:22">
      <c r="A6" s="38"/>
      <c r="B6" s="403"/>
      <c r="C6" s="38"/>
      <c r="D6" s="199"/>
      <c r="E6" s="6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T6" s="18"/>
      <c r="V6" s="119"/>
    </row>
    <row r="7" spans="1:22">
      <c r="A7" s="38"/>
      <c r="B7" s="403"/>
      <c r="C7" s="38"/>
      <c r="D7" s="243" t="s">
        <v>190</v>
      </c>
      <c r="E7" s="182">
        <v>1159000</v>
      </c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T7" s="18"/>
      <c r="V7" s="119"/>
    </row>
    <row r="8" spans="1:22">
      <c r="A8" s="38"/>
      <c r="B8" s="403"/>
      <c r="C8" s="38"/>
      <c r="D8" s="198"/>
      <c r="E8" s="14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T8" s="18"/>
      <c r="V8" s="120"/>
    </row>
    <row r="9" spans="1:22">
      <c r="A9" s="38"/>
      <c r="B9" s="407"/>
      <c r="C9" s="356"/>
      <c r="D9" s="245" t="s">
        <v>177</v>
      </c>
      <c r="E9" s="244">
        <v>250000</v>
      </c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T9" s="18"/>
      <c r="V9" s="123"/>
    </row>
    <row r="10" spans="1:22">
      <c r="A10" s="38"/>
      <c r="B10" s="403"/>
      <c r="C10" s="38"/>
      <c r="D10" s="198"/>
      <c r="E10" s="14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T10" s="18"/>
      <c r="V10" s="119"/>
    </row>
    <row r="11" spans="1:22">
      <c r="A11" s="42" t="s">
        <v>16</v>
      </c>
      <c r="B11" s="408"/>
      <c r="C11" s="42"/>
      <c r="D11" s="200"/>
      <c r="E11" s="26">
        <f>SUM(E6:E10)</f>
        <v>1409000</v>
      </c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T11" s="18"/>
    </row>
    <row r="12" spans="1:22">
      <c r="A12" s="38"/>
      <c r="B12" s="403"/>
      <c r="C12" s="38"/>
      <c r="D12" s="198"/>
      <c r="E12" s="1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18"/>
    </row>
    <row r="13" spans="1:22">
      <c r="A13" s="39" t="s">
        <v>3</v>
      </c>
      <c r="B13" s="379"/>
      <c r="C13" s="39"/>
      <c r="D13" s="201"/>
      <c r="E13" s="2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18"/>
    </row>
    <row r="14" spans="1:22">
      <c r="A14" s="40"/>
      <c r="B14" s="409"/>
      <c r="C14" s="40"/>
      <c r="D14" s="202"/>
      <c r="E14" s="3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18"/>
    </row>
    <row r="15" spans="1:22">
      <c r="A15" s="38"/>
      <c r="B15" s="403"/>
      <c r="C15" s="38"/>
      <c r="D15" s="242" t="s">
        <v>191</v>
      </c>
      <c r="E15" s="182">
        <v>598419</v>
      </c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8"/>
    </row>
    <row r="16" spans="1:22">
      <c r="A16" s="38"/>
      <c r="B16" s="403"/>
      <c r="C16" s="38"/>
      <c r="D16" s="198"/>
      <c r="E16" s="1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8"/>
    </row>
    <row r="17" spans="1:19">
      <c r="A17" s="38"/>
      <c r="B17" s="403"/>
      <c r="C17" s="38"/>
      <c r="D17" s="198"/>
      <c r="E17" s="1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8"/>
    </row>
    <row r="18" spans="1:19">
      <c r="A18" s="38"/>
      <c r="B18" s="403"/>
      <c r="C18" s="38"/>
      <c r="D18" s="198"/>
      <c r="E18" s="1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8"/>
    </row>
    <row r="19" spans="1:19">
      <c r="A19" s="42" t="s">
        <v>17</v>
      </c>
      <c r="B19" s="408"/>
      <c r="C19" s="42"/>
      <c r="D19" s="200"/>
      <c r="E19" s="26">
        <f>SUM(E15:E18)</f>
        <v>598419</v>
      </c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18"/>
    </row>
    <row r="20" spans="1:19">
      <c r="A20" s="10"/>
      <c r="B20" s="404"/>
      <c r="C20" s="10"/>
      <c r="D20" s="195"/>
      <c r="E20" s="11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18"/>
    </row>
    <row r="21" spans="1:19">
      <c r="A21" s="24" t="s">
        <v>14</v>
      </c>
      <c r="B21" s="410"/>
      <c r="C21" s="24"/>
      <c r="D21" s="204"/>
      <c r="E21" s="26">
        <f>SUM(E11+E19)</f>
        <v>2007419</v>
      </c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18"/>
    </row>
    <row r="22" spans="1:19">
      <c r="A22" s="10"/>
      <c r="B22" s="404" t="s">
        <v>330</v>
      </c>
      <c r="C22" s="10" t="s">
        <v>331</v>
      </c>
      <c r="D22" s="195"/>
      <c r="E22" s="11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8"/>
    </row>
    <row r="23" spans="1:19">
      <c r="A23" s="32" t="s">
        <v>154</v>
      </c>
      <c r="B23" s="411"/>
      <c r="C23" s="32"/>
      <c r="D23" s="205"/>
      <c r="E23" s="33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8"/>
    </row>
    <row r="24" spans="1:19" s="23" customFormat="1">
      <c r="A24" s="19"/>
      <c r="B24" s="406"/>
      <c r="C24" s="19"/>
      <c r="D24" s="196"/>
      <c r="E24" s="20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118"/>
    </row>
    <row r="25" spans="1:19">
      <c r="A25" s="38"/>
      <c r="B25" s="403"/>
      <c r="C25" s="38"/>
      <c r="D25" s="210"/>
      <c r="E25" s="1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8"/>
    </row>
    <row r="26" spans="1:19">
      <c r="A26" s="38"/>
      <c r="B26" s="403">
        <v>1</v>
      </c>
      <c r="C26" s="417">
        <v>1001</v>
      </c>
      <c r="D26" s="242" t="s">
        <v>163</v>
      </c>
      <c r="E26" s="169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8"/>
    </row>
    <row r="27" spans="1:19">
      <c r="A27" s="328" t="s">
        <v>382</v>
      </c>
      <c r="B27" s="412"/>
      <c r="C27" s="328" t="s">
        <v>378</v>
      </c>
      <c r="D27" s="247" t="s">
        <v>192</v>
      </c>
      <c r="E27" s="168">
        <v>120000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8"/>
    </row>
    <row r="28" spans="1:19">
      <c r="A28" s="328" t="s">
        <v>387</v>
      </c>
      <c r="B28" s="413"/>
      <c r="C28" s="340"/>
      <c r="D28" s="248" t="s">
        <v>193</v>
      </c>
      <c r="E28" s="168">
        <v>32000</v>
      </c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8"/>
    </row>
    <row r="29" spans="1:19">
      <c r="A29" s="328" t="s">
        <v>388</v>
      </c>
      <c r="B29" s="413"/>
      <c r="C29" s="340"/>
      <c r="D29" s="248" t="s">
        <v>194</v>
      </c>
      <c r="E29" s="168">
        <v>48000</v>
      </c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8"/>
    </row>
    <row r="30" spans="1:19">
      <c r="A30" s="328" t="s">
        <v>261</v>
      </c>
      <c r="B30" s="413"/>
      <c r="C30" s="340"/>
      <c r="D30" s="248" t="s">
        <v>195</v>
      </c>
      <c r="E30" s="168">
        <v>72000</v>
      </c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8"/>
    </row>
    <row r="31" spans="1:19">
      <c r="A31" s="333" t="s">
        <v>280</v>
      </c>
      <c r="B31" s="413"/>
      <c r="C31" s="340"/>
      <c r="D31" s="248" t="s">
        <v>196</v>
      </c>
      <c r="E31" s="168">
        <v>64000</v>
      </c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8"/>
    </row>
    <row r="32" spans="1:19">
      <c r="A32" s="333" t="s">
        <v>288</v>
      </c>
      <c r="B32" s="413"/>
      <c r="C32" s="340"/>
      <c r="D32" s="248" t="s">
        <v>197</v>
      </c>
      <c r="E32" s="168">
        <v>56000</v>
      </c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8"/>
    </row>
    <row r="33" spans="1:19">
      <c r="A33" s="330" t="s">
        <v>389</v>
      </c>
      <c r="B33" s="413"/>
      <c r="C33" s="340"/>
      <c r="D33" s="248" t="s">
        <v>198</v>
      </c>
      <c r="E33" s="168">
        <v>96000</v>
      </c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8"/>
    </row>
    <row r="34" spans="1:19">
      <c r="A34" s="330" t="s">
        <v>390</v>
      </c>
      <c r="B34" s="413"/>
      <c r="C34" s="340"/>
      <c r="D34" s="248" t="s">
        <v>199</v>
      </c>
      <c r="E34" s="168">
        <v>162000</v>
      </c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8"/>
    </row>
    <row r="35" spans="1:19">
      <c r="A35" s="328" t="s">
        <v>295</v>
      </c>
      <c r="B35" s="413"/>
      <c r="C35" s="340"/>
      <c r="D35" s="248" t="s">
        <v>200</v>
      </c>
      <c r="E35" s="168">
        <v>156000</v>
      </c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8"/>
    </row>
    <row r="36" spans="1:19">
      <c r="A36" s="330" t="s">
        <v>292</v>
      </c>
      <c r="B36" s="413"/>
      <c r="C36" s="340"/>
      <c r="D36" s="248" t="s">
        <v>201</v>
      </c>
      <c r="E36" s="168">
        <v>140000</v>
      </c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8"/>
    </row>
    <row r="37" spans="1:19">
      <c r="A37" s="328"/>
      <c r="B37" s="413"/>
      <c r="C37" s="340"/>
      <c r="D37" s="248" t="s">
        <v>202</v>
      </c>
      <c r="E37" s="168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8"/>
    </row>
    <row r="38" spans="1:19">
      <c r="A38" s="328" t="s">
        <v>263</v>
      </c>
      <c r="B38" s="413"/>
      <c r="C38" s="340" t="s">
        <v>379</v>
      </c>
      <c r="D38" s="249" t="s">
        <v>204</v>
      </c>
      <c r="E38" s="168">
        <f>270000-220000</f>
        <v>50000</v>
      </c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8"/>
    </row>
    <row r="39" spans="1:19">
      <c r="A39" s="328" t="s">
        <v>264</v>
      </c>
      <c r="B39" s="413"/>
      <c r="C39" s="340"/>
      <c r="D39" s="249" t="s">
        <v>205</v>
      </c>
      <c r="E39" s="168">
        <f>121500-60000</f>
        <v>61500</v>
      </c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8"/>
    </row>
    <row r="40" spans="1:19">
      <c r="A40" s="335" t="s">
        <v>268</v>
      </c>
      <c r="B40" s="414"/>
      <c r="C40" s="389"/>
      <c r="D40" s="248" t="s">
        <v>206</v>
      </c>
      <c r="E40" s="168">
        <v>31500</v>
      </c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8"/>
    </row>
    <row r="41" spans="1:19">
      <c r="A41" s="328" t="s">
        <v>259</v>
      </c>
      <c r="B41" s="413"/>
      <c r="C41" s="340"/>
      <c r="D41" s="248" t="s">
        <v>203</v>
      </c>
      <c r="E41" s="168">
        <f>90000-20000</f>
        <v>70000</v>
      </c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8"/>
    </row>
    <row r="42" spans="1:19">
      <c r="A42" s="38"/>
      <c r="B42" s="415"/>
      <c r="C42" s="381"/>
      <c r="D42" s="248" t="s">
        <v>86</v>
      </c>
      <c r="E42" s="169">
        <f>SUM(E27:E41)</f>
        <v>1159000</v>
      </c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8"/>
    </row>
    <row r="43" spans="1:19">
      <c r="A43" s="38"/>
      <c r="B43" s="415"/>
      <c r="C43" s="381"/>
      <c r="D43" s="246"/>
      <c r="E43" s="153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8"/>
    </row>
    <row r="44" spans="1:19">
      <c r="A44" s="38"/>
      <c r="B44" s="403"/>
      <c r="C44" s="38">
        <v>1002</v>
      </c>
      <c r="D44" s="211" t="s">
        <v>160</v>
      </c>
      <c r="E44" s="178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8"/>
    </row>
    <row r="45" spans="1:19">
      <c r="A45" s="328" t="s">
        <v>285</v>
      </c>
      <c r="B45" s="412"/>
      <c r="C45" s="328" t="s">
        <v>380</v>
      </c>
      <c r="D45" s="212" t="s">
        <v>162</v>
      </c>
      <c r="E45" s="179">
        <f>157*Staff_and_Office_2013!B62</f>
        <v>124966.69443811859</v>
      </c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8"/>
    </row>
    <row r="46" spans="1:19">
      <c r="A46" s="328">
        <v>5800</v>
      </c>
      <c r="B46" s="412"/>
      <c r="C46" s="328"/>
      <c r="D46" s="212" t="s">
        <v>84</v>
      </c>
      <c r="E46" s="179">
        <v>50033</v>
      </c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8"/>
    </row>
    <row r="47" spans="1:19">
      <c r="A47" s="328">
        <v>5832</v>
      </c>
      <c r="B47" s="412"/>
      <c r="C47" s="328"/>
      <c r="D47" s="213" t="s">
        <v>156</v>
      </c>
      <c r="E47" s="179">
        <v>20000</v>
      </c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8"/>
    </row>
    <row r="48" spans="1:19">
      <c r="A48" s="328">
        <v>6050</v>
      </c>
      <c r="B48" s="412"/>
      <c r="C48" s="328"/>
      <c r="D48" s="213" t="s">
        <v>157</v>
      </c>
      <c r="E48" s="179">
        <v>55000</v>
      </c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8"/>
    </row>
    <row r="49" spans="1:19">
      <c r="A49" s="38"/>
      <c r="B49" s="403"/>
      <c r="C49" s="38"/>
      <c r="D49" s="213" t="s">
        <v>86</v>
      </c>
      <c r="E49" s="178">
        <f>SUM(E45:E48)</f>
        <v>249999.6944381186</v>
      </c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8"/>
    </row>
    <row r="50" spans="1:19">
      <c r="A50" s="38"/>
      <c r="B50" s="403"/>
      <c r="C50" s="38"/>
      <c r="D50" s="210"/>
      <c r="E50" s="14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8"/>
    </row>
    <row r="51" spans="1:19">
      <c r="A51" s="38"/>
      <c r="B51" s="403"/>
      <c r="C51" s="38">
        <v>1003</v>
      </c>
      <c r="D51" s="242" t="s">
        <v>217</v>
      </c>
      <c r="E51" s="165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8"/>
    </row>
    <row r="52" spans="1:19">
      <c r="A52" s="328" t="s">
        <v>285</v>
      </c>
      <c r="B52" s="412"/>
      <c r="C52" s="328" t="s">
        <v>381</v>
      </c>
      <c r="D52" s="212" t="s">
        <v>162</v>
      </c>
      <c r="E52" s="165">
        <f>400*Staff_and_Office_2013!B62</f>
        <v>318386.48264488811</v>
      </c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8"/>
    </row>
    <row r="53" spans="1:19">
      <c r="A53" s="328">
        <v>5800</v>
      </c>
      <c r="B53" s="412"/>
      <c r="C53" s="328"/>
      <c r="D53" s="297" t="s">
        <v>84</v>
      </c>
      <c r="E53" s="166">
        <v>160033</v>
      </c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8"/>
    </row>
    <row r="54" spans="1:19">
      <c r="A54" s="328">
        <v>5832</v>
      </c>
      <c r="B54" s="412"/>
      <c r="C54" s="328"/>
      <c r="D54" s="212" t="s">
        <v>156</v>
      </c>
      <c r="E54" s="168">
        <v>40000</v>
      </c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75"/>
      <c r="S54" s="18"/>
    </row>
    <row r="55" spans="1:19">
      <c r="A55" s="330" t="s">
        <v>292</v>
      </c>
      <c r="B55" s="412"/>
      <c r="C55" s="328"/>
      <c r="D55" s="212" t="s">
        <v>123</v>
      </c>
      <c r="E55" s="168">
        <v>40000</v>
      </c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8"/>
    </row>
    <row r="56" spans="1:19">
      <c r="A56" s="328" t="s">
        <v>358</v>
      </c>
      <c r="B56" s="412"/>
      <c r="C56" s="328"/>
      <c r="D56" s="212" t="s">
        <v>124</v>
      </c>
      <c r="E56" s="168">
        <v>40000</v>
      </c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8"/>
    </row>
    <row r="57" spans="1:19">
      <c r="A57" s="38"/>
      <c r="B57" s="403"/>
      <c r="C57" s="38"/>
      <c r="D57" s="298" t="s">
        <v>86</v>
      </c>
      <c r="E57" s="169">
        <f>SUM(E52:E56)</f>
        <v>598419.48264488811</v>
      </c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8"/>
    </row>
    <row r="58" spans="1:19">
      <c r="A58" s="38"/>
      <c r="B58" s="403"/>
      <c r="C58" s="38"/>
      <c r="D58" s="198"/>
      <c r="E58" s="153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18"/>
    </row>
    <row r="59" spans="1:19">
      <c r="A59" s="24" t="s">
        <v>64</v>
      </c>
      <c r="B59" s="410"/>
      <c r="C59" s="24"/>
      <c r="D59" s="204"/>
      <c r="E59" s="149">
        <f>(E26+E42+E49+E57)</f>
        <v>2007419.1770830066</v>
      </c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18"/>
    </row>
    <row r="60" spans="1:19">
      <c r="A60" s="10"/>
      <c r="B60" s="404"/>
      <c r="C60" s="10"/>
      <c r="D60" s="195"/>
      <c r="E60" s="154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18"/>
    </row>
    <row r="61" spans="1:19">
      <c r="A61" s="10"/>
      <c r="B61" s="404"/>
      <c r="C61" s="10"/>
      <c r="D61" s="17"/>
      <c r="E61" s="154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18"/>
    </row>
    <row r="62" spans="1:19">
      <c r="A62" s="10" t="s">
        <v>15</v>
      </c>
      <c r="B62" s="404"/>
      <c r="C62" s="10"/>
      <c r="D62" s="17"/>
      <c r="E62" s="154">
        <f>SUM(E21-E59)</f>
        <v>-0.17708300659433007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18"/>
    </row>
    <row r="63" spans="1:19">
      <c r="A63" s="38"/>
      <c r="B63" s="403"/>
      <c r="C63" s="38"/>
      <c r="D63" s="199"/>
      <c r="E63" s="156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18"/>
    </row>
  </sheetData>
  <mergeCells count="1">
    <mergeCell ref="A1:D1"/>
  </mergeCells>
  <phoneticPr fontId="46" type="noConversion"/>
  <pageMargins left="0.75" right="0.75" top="1" bottom="1" header="0.5" footer="0.5"/>
  <pageSetup paperSize="9" scale="21" fitToHeight="2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42"/>
  <sheetViews>
    <sheetView topLeftCell="A15" workbookViewId="0">
      <selection activeCell="A25" sqref="A25"/>
    </sheetView>
  </sheetViews>
  <sheetFormatPr baseColWidth="10" defaultRowHeight="15" x14ac:dyDescent="0"/>
  <cols>
    <col min="1" max="1" width="32" style="41" customWidth="1"/>
    <col min="2" max="2" width="17.33203125" style="41" customWidth="1"/>
    <col min="3" max="3" width="16.5" style="41" customWidth="1"/>
    <col min="4" max="4" width="52.33203125" style="209" customWidth="1"/>
    <col min="5" max="5" width="23.1640625" customWidth="1"/>
    <col min="6" max="18" width="20.1640625" customWidth="1"/>
    <col min="19" max="19" width="21.6640625" customWidth="1"/>
    <col min="21" max="21" width="16.5" customWidth="1"/>
  </cols>
  <sheetData>
    <row r="1" spans="1:22" ht="30" customHeight="1">
      <c r="A1" s="423" t="s">
        <v>235</v>
      </c>
      <c r="B1" s="423"/>
      <c r="C1" s="423"/>
      <c r="D1" s="423"/>
    </row>
    <row r="3" spans="1:22">
      <c r="A3" s="10" t="s">
        <v>1</v>
      </c>
      <c r="B3" s="10"/>
      <c r="C3" s="10"/>
      <c r="D3" s="295" t="s">
        <v>161</v>
      </c>
      <c r="E3" s="12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1:22">
      <c r="A4" s="10"/>
      <c r="B4" s="185"/>
      <c r="C4" s="185"/>
      <c r="D4" s="296" t="s">
        <v>10</v>
      </c>
      <c r="E4" s="12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T4" s="18"/>
    </row>
    <row r="5" spans="1:22">
      <c r="A5" s="19" t="s">
        <v>2</v>
      </c>
      <c r="B5" s="19"/>
      <c r="C5" s="19"/>
      <c r="D5" s="196"/>
      <c r="E5" s="29"/>
      <c r="F5" s="152" t="s">
        <v>99</v>
      </c>
      <c r="G5" s="152" t="s">
        <v>152</v>
      </c>
      <c r="H5" s="152" t="s">
        <v>104</v>
      </c>
      <c r="I5" s="152" t="s">
        <v>100</v>
      </c>
      <c r="J5" s="152" t="s">
        <v>103</v>
      </c>
      <c r="K5" s="152" t="s">
        <v>101</v>
      </c>
      <c r="L5" s="152" t="s">
        <v>102</v>
      </c>
      <c r="M5" s="152" t="s">
        <v>105</v>
      </c>
      <c r="N5" s="152" t="s">
        <v>106</v>
      </c>
      <c r="O5" s="152" t="s">
        <v>107</v>
      </c>
      <c r="P5" s="152" t="s">
        <v>108</v>
      </c>
      <c r="Q5" s="152" t="s">
        <v>109</v>
      </c>
      <c r="R5" s="152" t="s">
        <v>110</v>
      </c>
      <c r="T5" s="18"/>
    </row>
    <row r="6" spans="1:22">
      <c r="A6" s="21"/>
      <c r="B6" s="21"/>
      <c r="C6" s="21"/>
      <c r="D6" s="197"/>
      <c r="E6" s="6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T6" s="122"/>
    </row>
    <row r="7" spans="1:22">
      <c r="A7" s="21"/>
      <c r="B7" s="21"/>
      <c r="C7" s="21"/>
      <c r="D7" s="285" t="s">
        <v>208</v>
      </c>
      <c r="E7" s="294">
        <v>150000</v>
      </c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T7" s="122"/>
    </row>
    <row r="8" spans="1:22">
      <c r="A8" s="38"/>
      <c r="B8" s="38"/>
      <c r="C8" s="38"/>
      <c r="D8" s="198"/>
      <c r="E8" s="1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T8" s="18"/>
      <c r="V8" s="119"/>
    </row>
    <row r="9" spans="1:22">
      <c r="A9" s="42" t="s">
        <v>16</v>
      </c>
      <c r="B9" s="42"/>
      <c r="C9" s="42"/>
      <c r="D9" s="200"/>
      <c r="E9" s="26">
        <f>SUM(E6:E8)</f>
        <v>150000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T9" s="18"/>
    </row>
    <row r="10" spans="1:22">
      <c r="A10" s="38"/>
      <c r="B10" s="38"/>
      <c r="C10" s="38"/>
      <c r="D10" s="198"/>
      <c r="E10" s="14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18"/>
    </row>
    <row r="11" spans="1:22">
      <c r="A11" s="39" t="s">
        <v>3</v>
      </c>
      <c r="B11" s="39"/>
      <c r="C11" s="39"/>
      <c r="D11" s="201"/>
      <c r="E11" s="2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18"/>
    </row>
    <row r="12" spans="1:22">
      <c r="A12" s="40"/>
      <c r="B12" s="40"/>
      <c r="C12" s="40"/>
      <c r="D12" s="202"/>
      <c r="E12" s="3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18"/>
    </row>
    <row r="13" spans="1:22">
      <c r="A13" s="38"/>
      <c r="B13" s="38"/>
      <c r="C13" s="38"/>
      <c r="D13" s="242" t="s">
        <v>138</v>
      </c>
      <c r="E13" s="165">
        <f>838790-150000</f>
        <v>688790</v>
      </c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8"/>
    </row>
    <row r="14" spans="1:22">
      <c r="A14" s="38"/>
      <c r="B14" s="38"/>
      <c r="C14" s="38"/>
      <c r="D14" s="198"/>
      <c r="E14" s="1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18"/>
    </row>
    <row r="15" spans="1:22">
      <c r="A15" s="42" t="s">
        <v>17</v>
      </c>
      <c r="B15" s="42"/>
      <c r="C15" s="42"/>
      <c r="D15" s="200"/>
      <c r="E15" s="26">
        <f>SUM(E13:E14)</f>
        <v>688790</v>
      </c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18"/>
    </row>
    <row r="16" spans="1:22">
      <c r="A16" s="10"/>
      <c r="B16" s="10"/>
      <c r="C16" s="10"/>
      <c r="D16" s="195"/>
      <c r="E16" s="1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8"/>
    </row>
    <row r="17" spans="1:19">
      <c r="A17" s="24" t="s">
        <v>14</v>
      </c>
      <c r="B17" s="24"/>
      <c r="C17" s="24"/>
      <c r="D17" s="204"/>
      <c r="E17" s="26">
        <f>SUM(E9+E15)</f>
        <v>838790</v>
      </c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18"/>
    </row>
    <row r="18" spans="1:19">
      <c r="A18" s="10"/>
      <c r="B18" s="10"/>
      <c r="C18" s="10"/>
      <c r="D18" s="195"/>
      <c r="E18" s="1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8"/>
    </row>
    <row r="19" spans="1:19" ht="26">
      <c r="A19" s="32" t="s">
        <v>155</v>
      </c>
      <c r="B19" s="32"/>
      <c r="C19" s="32"/>
      <c r="D19" s="205"/>
      <c r="E19" s="33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8"/>
    </row>
    <row r="20" spans="1:19">
      <c r="A20" s="10"/>
      <c r="B20" s="10" t="s">
        <v>330</v>
      </c>
      <c r="C20" s="10" t="s">
        <v>331</v>
      </c>
      <c r="D20" s="195"/>
      <c r="E20" s="15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18"/>
    </row>
    <row r="21" spans="1:19" s="23" customFormat="1">
      <c r="A21" s="19" t="s">
        <v>63</v>
      </c>
      <c r="B21" s="19">
        <v>2</v>
      </c>
      <c r="C21" s="19"/>
      <c r="D21" s="196"/>
      <c r="E21" s="155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118"/>
    </row>
    <row r="22" spans="1:19">
      <c r="A22" s="174"/>
      <c r="B22" s="174"/>
      <c r="C22" s="174"/>
      <c r="D22" s="206"/>
      <c r="E22" s="15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8"/>
    </row>
    <row r="23" spans="1:19">
      <c r="A23" s="360" t="s">
        <v>327</v>
      </c>
      <c r="B23" s="360"/>
      <c r="C23" s="360"/>
      <c r="D23" s="285" t="s">
        <v>169</v>
      </c>
      <c r="E23" s="286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8"/>
    </row>
    <row r="24" spans="1:19">
      <c r="A24" s="328" t="s">
        <v>285</v>
      </c>
      <c r="B24" s="328">
        <v>2</v>
      </c>
      <c r="C24" s="343" t="s">
        <v>327</v>
      </c>
      <c r="D24" s="299" t="s">
        <v>162</v>
      </c>
      <c r="E24" s="300">
        <f>SUM(300*Staff_and_Office_2013!B62)</f>
        <v>238789.86198366608</v>
      </c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8"/>
    </row>
    <row r="25" spans="1:19">
      <c r="A25" s="343" t="s">
        <v>383</v>
      </c>
      <c r="B25" s="375"/>
      <c r="C25" s="375"/>
      <c r="D25" s="302" t="s">
        <v>170</v>
      </c>
      <c r="E25" s="301">
        <v>150000</v>
      </c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8"/>
    </row>
    <row r="26" spans="1:19">
      <c r="A26" s="343" t="s">
        <v>384</v>
      </c>
      <c r="B26" s="375"/>
      <c r="C26" s="375"/>
      <c r="D26" s="302" t="s">
        <v>171</v>
      </c>
      <c r="E26" s="301">
        <v>200000</v>
      </c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8"/>
    </row>
    <row r="27" spans="1:19">
      <c r="A27" s="360"/>
      <c r="B27" s="418"/>
      <c r="C27" s="418"/>
      <c r="D27" s="302"/>
      <c r="E27" s="303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8"/>
    </row>
    <row r="28" spans="1:19">
      <c r="A28" s="360"/>
      <c r="B28" s="418"/>
      <c r="C28" s="418"/>
      <c r="D28" s="302" t="s">
        <v>86</v>
      </c>
      <c r="E28" s="274">
        <f>SUM(E23:E27)</f>
        <v>588789.86198366608</v>
      </c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8"/>
    </row>
    <row r="29" spans="1:19">
      <c r="A29" s="360"/>
      <c r="B29" s="418"/>
      <c r="C29" s="418"/>
      <c r="D29" s="207"/>
      <c r="E29" s="186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8"/>
    </row>
    <row r="30" spans="1:19">
      <c r="A30" s="360" t="s">
        <v>328</v>
      </c>
      <c r="B30" s="343" t="s">
        <v>386</v>
      </c>
      <c r="C30" s="343" t="s">
        <v>328</v>
      </c>
      <c r="D30" s="242" t="s">
        <v>218</v>
      </c>
      <c r="E30" s="169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8"/>
    </row>
    <row r="31" spans="1:19">
      <c r="A31" s="328" t="s">
        <v>285</v>
      </c>
      <c r="B31" s="328"/>
      <c r="C31" s="343"/>
      <c r="D31" s="212" t="s">
        <v>162</v>
      </c>
      <c r="E31" s="169">
        <f>SUM(240*Staff_and_Office_2013!B62)</f>
        <v>191031.88958693287</v>
      </c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8"/>
    </row>
    <row r="32" spans="1:19">
      <c r="A32" s="330" t="s">
        <v>292</v>
      </c>
      <c r="B32" s="330"/>
      <c r="C32" s="419"/>
      <c r="D32" s="298" t="s">
        <v>123</v>
      </c>
      <c r="E32" s="168">
        <v>100000</v>
      </c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8"/>
    </row>
    <row r="33" spans="1:19">
      <c r="A33" s="343" t="s">
        <v>383</v>
      </c>
      <c r="B33" s="343"/>
      <c r="C33" s="343"/>
      <c r="D33" s="214" t="s">
        <v>84</v>
      </c>
      <c r="E33" s="168">
        <v>120000</v>
      </c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8"/>
    </row>
    <row r="34" spans="1:19">
      <c r="A34" s="328">
        <v>5832</v>
      </c>
      <c r="B34" s="328"/>
      <c r="C34" s="343"/>
      <c r="D34" s="214" t="s">
        <v>156</v>
      </c>
      <c r="E34" s="168">
        <v>30000</v>
      </c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8"/>
    </row>
    <row r="35" spans="1:19">
      <c r="A35" s="360"/>
      <c r="B35" s="360"/>
      <c r="C35" s="360"/>
      <c r="D35" s="214"/>
      <c r="E35" s="169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8"/>
    </row>
    <row r="36" spans="1:19">
      <c r="A36" s="361"/>
      <c r="B36" s="361"/>
      <c r="C36" s="420"/>
      <c r="D36" s="214" t="s">
        <v>86</v>
      </c>
      <c r="E36" s="169">
        <f>SUM(E32:E34)</f>
        <v>250000</v>
      </c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8"/>
    </row>
    <row r="37" spans="1:19">
      <c r="A37" s="10"/>
      <c r="B37" s="10"/>
      <c r="C37" s="421"/>
      <c r="D37" s="195"/>
      <c r="E37" s="154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8"/>
    </row>
    <row r="38" spans="1:19">
      <c r="A38" s="24" t="s">
        <v>65</v>
      </c>
      <c r="B38" s="24"/>
      <c r="C38" s="422"/>
      <c r="D38" s="204"/>
      <c r="E38" s="149">
        <f>SUM(E28+E36)</f>
        <v>838789.86198366608</v>
      </c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18"/>
    </row>
    <row r="39" spans="1:19">
      <c r="A39" s="10"/>
      <c r="B39" s="10"/>
      <c r="C39" s="10"/>
      <c r="D39" s="195"/>
      <c r="E39" s="154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18"/>
    </row>
    <row r="40" spans="1:19">
      <c r="A40" s="21"/>
      <c r="B40" s="21"/>
      <c r="C40" s="21"/>
      <c r="D40" s="208"/>
      <c r="E40" s="157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18"/>
    </row>
    <row r="41" spans="1:19">
      <c r="A41" s="10" t="s">
        <v>15</v>
      </c>
      <c r="B41" s="10"/>
      <c r="C41" s="10"/>
      <c r="D41" s="17"/>
      <c r="E41" s="154">
        <f>SUM(E17-E38)</f>
        <v>0.13801633391994983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18"/>
    </row>
    <row r="42" spans="1:19">
      <c r="A42" s="21"/>
      <c r="B42" s="21"/>
      <c r="C42" s="21"/>
      <c r="D42" s="208"/>
      <c r="E42" s="157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8"/>
    </row>
  </sheetData>
  <mergeCells count="1">
    <mergeCell ref="A1:D1"/>
  </mergeCells>
  <phoneticPr fontId="46" type="noConversion"/>
  <pageMargins left="0.75" right="0.75" top="1" bottom="1" header="0.5" footer="0.5"/>
  <pageSetup paperSize="9" scale="21" fitToHeight="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59"/>
  <sheetViews>
    <sheetView topLeftCell="A35" workbookViewId="0">
      <selection activeCell="A88" sqref="A88"/>
    </sheetView>
  </sheetViews>
  <sheetFormatPr baseColWidth="10" defaultRowHeight="15" x14ac:dyDescent="0"/>
  <cols>
    <col min="1" max="1" width="36.33203125" style="41" customWidth="1"/>
    <col min="2" max="2" width="16.83203125" style="41" customWidth="1"/>
    <col min="3" max="3" width="52.33203125" style="209" customWidth="1"/>
    <col min="4" max="4" width="23.1640625" style="219" customWidth="1"/>
    <col min="5" max="17" width="20.1640625" customWidth="1"/>
    <col min="18" max="18" width="21.6640625" customWidth="1"/>
    <col min="20" max="20" width="16.5" customWidth="1"/>
  </cols>
  <sheetData>
    <row r="1" spans="1:21" ht="30" customHeight="1">
      <c r="A1" s="423" t="s">
        <v>236</v>
      </c>
      <c r="B1" s="423"/>
      <c r="C1" s="423"/>
    </row>
    <row r="3" spans="1:21">
      <c r="A3" s="10" t="s">
        <v>1</v>
      </c>
      <c r="B3" s="10"/>
      <c r="C3" s="295" t="s">
        <v>161</v>
      </c>
      <c r="D3" s="22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</row>
    <row r="4" spans="1:21">
      <c r="A4" s="10"/>
      <c r="B4" s="185"/>
      <c r="C4" s="296" t="s">
        <v>10</v>
      </c>
      <c r="D4" s="22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18"/>
    </row>
    <row r="5" spans="1:21">
      <c r="A5" s="19" t="s">
        <v>2</v>
      </c>
      <c r="B5" s="19"/>
      <c r="C5" s="196"/>
      <c r="D5" s="221"/>
      <c r="E5" s="152" t="s">
        <v>99</v>
      </c>
      <c r="F5" s="152" t="s">
        <v>152</v>
      </c>
      <c r="G5" s="152" t="s">
        <v>104</v>
      </c>
      <c r="H5" s="152" t="s">
        <v>100</v>
      </c>
      <c r="I5" s="152" t="s">
        <v>103</v>
      </c>
      <c r="J5" s="152" t="s">
        <v>101</v>
      </c>
      <c r="K5" s="152" t="s">
        <v>102</v>
      </c>
      <c r="L5" s="152" t="s">
        <v>105</v>
      </c>
      <c r="M5" s="152" t="s">
        <v>106</v>
      </c>
      <c r="N5" s="152" t="s">
        <v>107</v>
      </c>
      <c r="O5" s="152" t="s">
        <v>108</v>
      </c>
      <c r="P5" s="152" t="s">
        <v>109</v>
      </c>
      <c r="Q5" s="152" t="s">
        <v>110</v>
      </c>
      <c r="S5" s="18"/>
    </row>
    <row r="6" spans="1:21">
      <c r="A6" s="21"/>
      <c r="B6" s="21"/>
      <c r="C6" s="197"/>
      <c r="D6" s="6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S6" s="122"/>
    </row>
    <row r="7" spans="1:21">
      <c r="A7" s="38"/>
      <c r="B7" s="38"/>
      <c r="C7" s="198"/>
      <c r="D7" s="1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S7" s="18"/>
      <c r="U7" s="18"/>
    </row>
    <row r="8" spans="1:21">
      <c r="A8" s="38"/>
      <c r="B8" s="38"/>
      <c r="C8" s="203" t="s">
        <v>180</v>
      </c>
      <c r="D8" s="165">
        <f>7517501</f>
        <v>7517501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>
        <f>SUM(H8:P8)</f>
        <v>0</v>
      </c>
      <c r="S8" s="18"/>
      <c r="U8" s="120"/>
    </row>
    <row r="9" spans="1:21">
      <c r="A9" s="38"/>
      <c r="B9" s="38"/>
      <c r="C9" s="198"/>
      <c r="D9" s="14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S9" s="18"/>
    </row>
    <row r="10" spans="1:21">
      <c r="A10" s="38"/>
      <c r="B10" s="38"/>
      <c r="C10" s="282" t="s">
        <v>182</v>
      </c>
      <c r="D10" s="283">
        <v>3976251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S10" s="18"/>
    </row>
    <row r="11" spans="1:21">
      <c r="A11" s="38"/>
      <c r="B11" s="38"/>
      <c r="C11" s="198"/>
      <c r="D11" s="14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S11" s="18"/>
      <c r="U11" s="119"/>
    </row>
    <row r="12" spans="1:21">
      <c r="A12" s="38"/>
      <c r="B12" s="38"/>
      <c r="C12" s="203" t="s">
        <v>177</v>
      </c>
      <c r="D12" s="165">
        <v>800000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75">
        <f>SUM(H12:P12)</f>
        <v>0</v>
      </c>
      <c r="S12" s="18"/>
      <c r="U12" s="120"/>
    </row>
    <row r="13" spans="1:21">
      <c r="A13" s="38"/>
      <c r="B13" s="38"/>
      <c r="C13" s="199"/>
      <c r="D13" s="65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S13" s="18"/>
      <c r="U13" s="119"/>
    </row>
    <row r="14" spans="1:21">
      <c r="A14" s="38"/>
      <c r="B14" s="38"/>
      <c r="C14" s="282" t="s">
        <v>88</v>
      </c>
      <c r="D14" s="284">
        <v>3539193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S14" s="18"/>
      <c r="U14" s="119"/>
    </row>
    <row r="15" spans="1:21">
      <c r="A15" s="38"/>
      <c r="B15" s="38"/>
      <c r="C15" s="198"/>
      <c r="D15" s="14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S15" s="18"/>
      <c r="U15" s="120"/>
    </row>
    <row r="16" spans="1:21">
      <c r="A16" s="38"/>
      <c r="B16" s="38"/>
      <c r="C16" s="326" t="s">
        <v>252</v>
      </c>
      <c r="D16" s="327">
        <v>862487</v>
      </c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>
        <f>SUM(M16:P16)</f>
        <v>0</v>
      </c>
      <c r="S16" s="18"/>
      <c r="U16" s="120"/>
    </row>
    <row r="17" spans="1:21">
      <c r="A17" s="38"/>
      <c r="B17" s="38"/>
      <c r="C17" s="199"/>
      <c r="D17" s="14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S17" s="18"/>
      <c r="U17" s="121"/>
    </row>
    <row r="18" spans="1:21">
      <c r="A18" s="38"/>
      <c r="B18" s="38"/>
      <c r="C18" s="199"/>
      <c r="D18" s="65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S18" s="18"/>
      <c r="U18" s="123"/>
    </row>
    <row r="19" spans="1:21">
      <c r="A19" s="38"/>
      <c r="B19" s="38"/>
      <c r="C19" s="198"/>
      <c r="D19" s="1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S19" s="18"/>
      <c r="U19" s="119"/>
    </row>
    <row r="20" spans="1:21">
      <c r="A20" s="42" t="s">
        <v>16</v>
      </c>
      <c r="B20" s="42"/>
      <c r="C20" s="200"/>
      <c r="D20" s="44">
        <f>SUM(D6:D19)</f>
        <v>16695432</v>
      </c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S20" s="18"/>
    </row>
    <row r="21" spans="1:21">
      <c r="A21" s="38"/>
      <c r="B21" s="38"/>
      <c r="C21" s="198"/>
      <c r="D21" s="1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8"/>
    </row>
    <row r="22" spans="1:21">
      <c r="A22" s="39" t="s">
        <v>3</v>
      </c>
      <c r="B22" s="39"/>
      <c r="C22" s="201"/>
      <c r="D22" s="2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18"/>
    </row>
    <row r="23" spans="1:21">
      <c r="A23" s="40"/>
      <c r="B23" s="40"/>
      <c r="C23" s="202"/>
      <c r="D23" s="34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8"/>
    </row>
    <row r="24" spans="1:21">
      <c r="A24" s="38"/>
      <c r="B24" s="38"/>
      <c r="C24" s="203" t="s">
        <v>138</v>
      </c>
      <c r="D24" s="165">
        <v>0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8"/>
    </row>
    <row r="25" spans="1:21">
      <c r="A25" s="38"/>
      <c r="B25" s="38"/>
      <c r="C25" s="198"/>
      <c r="D25" s="1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18"/>
    </row>
    <row r="26" spans="1:21">
      <c r="A26" s="42" t="s">
        <v>17</v>
      </c>
      <c r="B26" s="42"/>
      <c r="C26" s="200"/>
      <c r="D26" s="44">
        <f>SUM(D24:D25)</f>
        <v>0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18"/>
    </row>
    <row r="27" spans="1:21">
      <c r="A27" s="10"/>
      <c r="B27" s="10"/>
      <c r="C27" s="195"/>
      <c r="D27" s="1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18"/>
    </row>
    <row r="28" spans="1:21">
      <c r="A28" s="24" t="s">
        <v>14</v>
      </c>
      <c r="B28" s="24"/>
      <c r="C28" s="204"/>
      <c r="D28" s="26">
        <f>SUM(D20+D26)</f>
        <v>16695432</v>
      </c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18"/>
    </row>
    <row r="29" spans="1:21">
      <c r="A29" s="10"/>
      <c r="B29" s="10"/>
      <c r="C29" s="195"/>
      <c r="D29" s="1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18"/>
    </row>
    <row r="30" spans="1:21">
      <c r="A30" s="19" t="s">
        <v>66</v>
      </c>
      <c r="B30" s="19"/>
      <c r="C30" s="196" t="s">
        <v>67</v>
      </c>
      <c r="D30" s="155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18"/>
    </row>
    <row r="31" spans="1:21">
      <c r="A31" s="10"/>
      <c r="B31" s="10"/>
      <c r="C31" s="68"/>
      <c r="D31" s="153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</row>
    <row r="32" spans="1:21">
      <c r="A32" s="328"/>
      <c r="B32" s="343" t="s">
        <v>289</v>
      </c>
      <c r="C32" s="211" t="s">
        <v>178</v>
      </c>
      <c r="D32" s="178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8"/>
    </row>
    <row r="33" spans="1:19">
      <c r="A33" s="328" t="s">
        <v>265</v>
      </c>
      <c r="B33" s="343"/>
      <c r="C33" s="214" t="s">
        <v>162</v>
      </c>
      <c r="D33" s="179">
        <f>200*Staff_and_Office_2013!B62</f>
        <v>159193.24132244405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75">
        <f t="shared" ref="Q33:Q38" si="0">D33-H33-I33-J33-K33-L33-M33-N33-O33-P33</f>
        <v>159193.24132244405</v>
      </c>
      <c r="R33" s="18"/>
    </row>
    <row r="34" spans="1:19">
      <c r="A34" s="328" t="s">
        <v>295</v>
      </c>
      <c r="B34" s="343"/>
      <c r="C34" s="212" t="s">
        <v>123</v>
      </c>
      <c r="D34" s="179">
        <v>45807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75">
        <f t="shared" si="0"/>
        <v>45807</v>
      </c>
      <c r="R34" s="18"/>
    </row>
    <row r="35" spans="1:19">
      <c r="A35" s="328" t="s">
        <v>275</v>
      </c>
      <c r="B35" s="343"/>
      <c r="C35" s="212" t="s">
        <v>84</v>
      </c>
      <c r="D35" s="179">
        <v>65000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75">
        <f t="shared" si="0"/>
        <v>65000</v>
      </c>
      <c r="R35" s="18"/>
    </row>
    <row r="36" spans="1:19">
      <c r="A36" s="328" t="s">
        <v>280</v>
      </c>
      <c r="B36" s="343"/>
      <c r="C36" s="213" t="s">
        <v>156</v>
      </c>
      <c r="D36" s="179">
        <v>30000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75">
        <f t="shared" si="0"/>
        <v>30000</v>
      </c>
      <c r="R36" s="18"/>
    </row>
    <row r="37" spans="1:19">
      <c r="A37" s="328" t="s">
        <v>266</v>
      </c>
      <c r="B37" s="343"/>
      <c r="C37" s="213" t="s">
        <v>179</v>
      </c>
      <c r="D37" s="179">
        <v>500000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75">
        <f t="shared" si="0"/>
        <v>500000</v>
      </c>
      <c r="R37" s="18"/>
    </row>
    <row r="38" spans="1:19">
      <c r="A38" s="334"/>
      <c r="B38" s="334"/>
      <c r="C38" s="213" t="s">
        <v>86</v>
      </c>
      <c r="D38" s="178">
        <f>SUM(D33:D37)</f>
        <v>800000.24132244405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75">
        <f t="shared" si="0"/>
        <v>800000.24132244405</v>
      </c>
      <c r="R38" s="18"/>
    </row>
    <row r="39" spans="1:19">
      <c r="A39" s="334"/>
      <c r="B39" s="334"/>
      <c r="C39" s="215"/>
      <c r="D39" s="170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8"/>
    </row>
    <row r="40" spans="1:19">
      <c r="A40" s="328"/>
      <c r="B40" s="343" t="s">
        <v>276</v>
      </c>
      <c r="C40" s="211" t="s">
        <v>164</v>
      </c>
      <c r="D40" s="168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8"/>
    </row>
    <row r="41" spans="1:19">
      <c r="A41" s="328" t="s">
        <v>287</v>
      </c>
      <c r="B41" s="343"/>
      <c r="C41" s="213" t="s">
        <v>286</v>
      </c>
      <c r="D41" s="168">
        <f>3870990/2</f>
        <v>1935495</v>
      </c>
      <c r="E41" s="175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75">
        <f>D41-H41-I41-J41-K41-L41-M41-N41-O41-P41</f>
        <v>1935495</v>
      </c>
      <c r="R41" s="18"/>
      <c r="S41" s="18"/>
    </row>
    <row r="42" spans="1:19">
      <c r="A42" s="329" t="s">
        <v>294</v>
      </c>
      <c r="B42" s="343"/>
      <c r="C42" s="216" t="s">
        <v>281</v>
      </c>
      <c r="D42" s="168">
        <f>1449630/2</f>
        <v>724815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75">
        <f t="shared" ref="Q42:Q69" si="1">D42-H42-I42-J42-K42-L42-M42-N42-O42-P42</f>
        <v>724815</v>
      </c>
      <c r="R42" s="18"/>
    </row>
    <row r="43" spans="1:19">
      <c r="A43" s="328" t="s">
        <v>288</v>
      </c>
      <c r="B43" s="343"/>
      <c r="C43" s="216" t="s">
        <v>117</v>
      </c>
      <c r="D43" s="168">
        <f>1433700/2</f>
        <v>716850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75">
        <f t="shared" si="1"/>
        <v>716850</v>
      </c>
      <c r="R43" s="18"/>
    </row>
    <row r="44" spans="1:19">
      <c r="A44" s="328" t="s">
        <v>295</v>
      </c>
      <c r="B44" s="343"/>
      <c r="C44" s="216" t="s">
        <v>118</v>
      </c>
      <c r="D44" s="168">
        <f>1486800/2</f>
        <v>743400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75">
        <f t="shared" si="1"/>
        <v>743400</v>
      </c>
      <c r="R44" s="18"/>
    </row>
    <row r="45" spans="1:19">
      <c r="A45" s="328"/>
      <c r="B45" s="340"/>
      <c r="C45" s="217"/>
      <c r="D45" s="168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75">
        <f t="shared" si="1"/>
        <v>0</v>
      </c>
      <c r="R45" s="18"/>
    </row>
    <row r="46" spans="1:19">
      <c r="A46" s="328" t="s">
        <v>267</v>
      </c>
      <c r="B46" s="343" t="s">
        <v>277</v>
      </c>
      <c r="C46" s="216" t="s">
        <v>119</v>
      </c>
      <c r="D46" s="168">
        <f>398250/2</f>
        <v>199125</v>
      </c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75">
        <f t="shared" si="1"/>
        <v>199125</v>
      </c>
      <c r="R46" s="18"/>
    </row>
    <row r="47" spans="1:19">
      <c r="A47" s="328" t="s">
        <v>282</v>
      </c>
      <c r="B47" s="343"/>
      <c r="C47" s="216" t="s">
        <v>120</v>
      </c>
      <c r="D47" s="168">
        <f>95580/2</f>
        <v>47790</v>
      </c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75">
        <f t="shared" si="1"/>
        <v>47790</v>
      </c>
      <c r="R47" s="18"/>
    </row>
    <row r="48" spans="1:19">
      <c r="A48" s="328" t="s">
        <v>283</v>
      </c>
      <c r="B48" s="343"/>
      <c r="C48" s="216" t="s">
        <v>121</v>
      </c>
      <c r="D48" s="168">
        <f>22126/2</f>
        <v>11063</v>
      </c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75">
        <f t="shared" si="1"/>
        <v>11063</v>
      </c>
      <c r="R48" s="18"/>
    </row>
    <row r="49" spans="1:18">
      <c r="A49" s="328" t="s">
        <v>284</v>
      </c>
      <c r="B49" s="343"/>
      <c r="C49" s="216" t="s">
        <v>122</v>
      </c>
      <c r="D49" s="168">
        <f>47790/2</f>
        <v>23895</v>
      </c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75">
        <f t="shared" si="1"/>
        <v>23895</v>
      </c>
      <c r="R49" s="18"/>
    </row>
    <row r="50" spans="1:18" ht="27">
      <c r="A50" s="328" t="s">
        <v>285</v>
      </c>
      <c r="B50" s="343" t="s">
        <v>278</v>
      </c>
      <c r="C50" s="216" t="s">
        <v>258</v>
      </c>
      <c r="D50" s="168">
        <f>909506/2</f>
        <v>454753</v>
      </c>
      <c r="E50" s="223" t="s">
        <v>212</v>
      </c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75">
        <f t="shared" si="1"/>
        <v>454753</v>
      </c>
      <c r="R50" s="18"/>
    </row>
    <row r="51" spans="1:18">
      <c r="A51" s="331" t="s">
        <v>290</v>
      </c>
      <c r="B51" s="343"/>
      <c r="C51" s="216" t="s">
        <v>124</v>
      </c>
      <c r="D51" s="168">
        <f>309750/2</f>
        <v>154875</v>
      </c>
      <c r="E51" s="223" t="s">
        <v>213</v>
      </c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75">
        <f t="shared" si="1"/>
        <v>154875</v>
      </c>
      <c r="R51" s="18"/>
    </row>
    <row r="52" spans="1:18">
      <c r="A52" s="330" t="s">
        <v>264</v>
      </c>
      <c r="B52" s="343"/>
      <c r="C52" s="216" t="s">
        <v>84</v>
      </c>
      <c r="D52" s="168">
        <f>226560/2</f>
        <v>113280</v>
      </c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75">
        <f t="shared" si="1"/>
        <v>113280</v>
      </c>
      <c r="R52" s="18"/>
    </row>
    <row r="53" spans="1:18">
      <c r="A53" s="345" t="s">
        <v>291</v>
      </c>
      <c r="B53" s="346"/>
      <c r="C53" s="347" t="s">
        <v>257</v>
      </c>
      <c r="D53" s="162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75"/>
      <c r="R53" s="18"/>
    </row>
    <row r="54" spans="1:18">
      <c r="A54" s="330" t="s">
        <v>280</v>
      </c>
      <c r="B54" s="343"/>
      <c r="C54" s="216" t="s">
        <v>125</v>
      </c>
      <c r="D54" s="168">
        <f>32710/2</f>
        <v>16355</v>
      </c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75">
        <f t="shared" si="1"/>
        <v>16355</v>
      </c>
      <c r="R54" s="18"/>
    </row>
    <row r="55" spans="1:18">
      <c r="A55" s="330" t="s">
        <v>306</v>
      </c>
      <c r="B55" s="343"/>
      <c r="C55" s="216" t="s">
        <v>126</v>
      </c>
      <c r="D55" s="168">
        <f>42480/2</f>
        <v>21240</v>
      </c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75">
        <f t="shared" si="1"/>
        <v>21240</v>
      </c>
      <c r="R55" s="18"/>
    </row>
    <row r="56" spans="1:18">
      <c r="A56" s="330"/>
      <c r="B56" s="343"/>
      <c r="C56" s="216"/>
      <c r="D56" s="168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75">
        <f t="shared" si="1"/>
        <v>0</v>
      </c>
      <c r="R56" s="18"/>
    </row>
    <row r="57" spans="1:18">
      <c r="A57" s="330"/>
      <c r="B57" s="343"/>
      <c r="C57" s="216"/>
      <c r="D57" s="168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75">
        <f t="shared" si="1"/>
        <v>0</v>
      </c>
      <c r="R57" s="18"/>
    </row>
    <row r="58" spans="1:18">
      <c r="A58" s="330"/>
      <c r="B58" s="343" t="s">
        <v>279</v>
      </c>
      <c r="C58" s="216" t="s">
        <v>127</v>
      </c>
      <c r="D58" s="168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75">
        <f t="shared" si="1"/>
        <v>0</v>
      </c>
      <c r="R58" s="18"/>
    </row>
    <row r="59" spans="1:18">
      <c r="A59" s="333" t="s">
        <v>264</v>
      </c>
      <c r="B59" s="343" t="s">
        <v>307</v>
      </c>
      <c r="C59" s="216" t="s">
        <v>128</v>
      </c>
      <c r="D59" s="168">
        <f>1144836/2</f>
        <v>572418</v>
      </c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75">
        <f t="shared" si="1"/>
        <v>572418</v>
      </c>
      <c r="R59" s="18"/>
    </row>
    <row r="60" spans="1:18">
      <c r="A60" s="348" t="s">
        <v>387</v>
      </c>
      <c r="B60" s="343" t="s">
        <v>308</v>
      </c>
      <c r="C60" s="347" t="s">
        <v>129</v>
      </c>
      <c r="D60" s="162">
        <v>0</v>
      </c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75">
        <f t="shared" si="1"/>
        <v>0</v>
      </c>
      <c r="R60" s="18"/>
    </row>
    <row r="61" spans="1:18">
      <c r="A61" s="333" t="s">
        <v>280</v>
      </c>
      <c r="B61" s="343" t="s">
        <v>309</v>
      </c>
      <c r="C61" s="216" t="s">
        <v>130</v>
      </c>
      <c r="D61" s="168">
        <f>451616/2</f>
        <v>225808</v>
      </c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75">
        <f t="shared" si="1"/>
        <v>225808</v>
      </c>
      <c r="R61" s="18"/>
    </row>
    <row r="62" spans="1:18">
      <c r="A62" s="333" t="s">
        <v>288</v>
      </c>
      <c r="B62" s="343" t="s">
        <v>310</v>
      </c>
      <c r="C62" s="216" t="s">
        <v>131</v>
      </c>
      <c r="D62" s="168">
        <f>367983/2</f>
        <v>183991.5</v>
      </c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75">
        <f t="shared" si="1"/>
        <v>183991.5</v>
      </c>
      <c r="R62" s="18"/>
    </row>
    <row r="63" spans="1:18">
      <c r="A63" s="330" t="s">
        <v>389</v>
      </c>
      <c r="B63" s="343" t="s">
        <v>311</v>
      </c>
      <c r="C63" s="216" t="s">
        <v>132</v>
      </c>
      <c r="D63" s="168">
        <f>30665/2</f>
        <v>15332.5</v>
      </c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75">
        <f t="shared" si="1"/>
        <v>15332.5</v>
      </c>
      <c r="R63" s="18"/>
    </row>
    <row r="64" spans="1:18">
      <c r="A64" s="330" t="s">
        <v>293</v>
      </c>
      <c r="B64" s="343" t="s">
        <v>312</v>
      </c>
      <c r="C64" s="216" t="s">
        <v>133</v>
      </c>
      <c r="D64" s="168">
        <f>1194750/2</f>
        <v>597375</v>
      </c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75">
        <f t="shared" si="1"/>
        <v>597375</v>
      </c>
      <c r="R64" s="18"/>
    </row>
    <row r="65" spans="1:18">
      <c r="A65" s="330" t="s">
        <v>268</v>
      </c>
      <c r="B65" s="343" t="s">
        <v>313</v>
      </c>
      <c r="C65" s="216" t="s">
        <v>134</v>
      </c>
      <c r="D65" s="168">
        <f>796500/2</f>
        <v>398250</v>
      </c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75">
        <f t="shared" si="1"/>
        <v>398250</v>
      </c>
      <c r="R65" s="18"/>
    </row>
    <row r="66" spans="1:18">
      <c r="A66" s="330" t="s">
        <v>391</v>
      </c>
      <c r="B66" s="343" t="s">
        <v>314</v>
      </c>
      <c r="C66" s="216" t="s">
        <v>135</v>
      </c>
      <c r="D66" s="168">
        <f>238950/2</f>
        <v>119475</v>
      </c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75">
        <f t="shared" si="1"/>
        <v>119475</v>
      </c>
      <c r="R66" s="18"/>
    </row>
    <row r="67" spans="1:18">
      <c r="A67" s="330" t="s">
        <v>292</v>
      </c>
      <c r="B67" s="343" t="s">
        <v>315</v>
      </c>
      <c r="C67" s="216" t="s">
        <v>136</v>
      </c>
      <c r="D67" s="168">
        <f>238508/2</f>
        <v>119254</v>
      </c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75">
        <f t="shared" si="1"/>
        <v>119254</v>
      </c>
      <c r="R67" s="18"/>
    </row>
    <row r="68" spans="1:18">
      <c r="A68" s="330" t="s">
        <v>292</v>
      </c>
      <c r="B68" s="343" t="s">
        <v>316</v>
      </c>
      <c r="C68" s="216" t="s">
        <v>137</v>
      </c>
      <c r="D68" s="168">
        <f>245322/2</f>
        <v>122661</v>
      </c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75">
        <f t="shared" si="1"/>
        <v>122661</v>
      </c>
      <c r="R68" s="18"/>
    </row>
    <row r="69" spans="1:18">
      <c r="A69" s="330"/>
      <c r="B69" s="333"/>
      <c r="C69" s="216" t="s">
        <v>86</v>
      </c>
      <c r="D69" s="169">
        <f>SUM(D41:D68)</f>
        <v>7517501</v>
      </c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75">
        <f t="shared" si="1"/>
        <v>7517501</v>
      </c>
      <c r="R69" s="18"/>
    </row>
    <row r="70" spans="1:18" s="23" customFormat="1">
      <c r="A70" s="224"/>
      <c r="B70" s="224"/>
      <c r="C70" s="218"/>
      <c r="D70" s="157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18"/>
    </row>
    <row r="71" spans="1:18" s="23" customFormat="1">
      <c r="A71" s="224"/>
      <c r="B71" s="352" t="s">
        <v>296</v>
      </c>
      <c r="C71" s="285" t="s">
        <v>181</v>
      </c>
      <c r="D71" s="286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18"/>
    </row>
    <row r="72" spans="1:18" s="23" customFormat="1">
      <c r="A72" s="328" t="s">
        <v>287</v>
      </c>
      <c r="B72" s="343" t="s">
        <v>296</v>
      </c>
      <c r="C72" s="287" t="s">
        <v>115</v>
      </c>
      <c r="D72" s="286">
        <f>3870990/4</f>
        <v>967747.5</v>
      </c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18"/>
    </row>
    <row r="73" spans="1:18" s="23" customFormat="1">
      <c r="A73" s="329" t="s">
        <v>294</v>
      </c>
      <c r="B73" s="343"/>
      <c r="C73" s="288" t="s">
        <v>116</v>
      </c>
      <c r="D73" s="286">
        <f>1449630/4</f>
        <v>362407.5</v>
      </c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18"/>
    </row>
    <row r="74" spans="1:18" s="23" customFormat="1">
      <c r="A74" s="328" t="s">
        <v>288</v>
      </c>
      <c r="B74" s="343"/>
      <c r="C74" s="288" t="s">
        <v>117</v>
      </c>
      <c r="D74" s="286">
        <f>1433700/4</f>
        <v>358425</v>
      </c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18"/>
    </row>
    <row r="75" spans="1:18" s="23" customFormat="1">
      <c r="A75" s="328" t="s">
        <v>295</v>
      </c>
      <c r="B75" s="343"/>
      <c r="C75" s="288" t="s">
        <v>118</v>
      </c>
      <c r="D75" s="286">
        <f>1486800/4</f>
        <v>371700</v>
      </c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18"/>
    </row>
    <row r="76" spans="1:18" s="23" customFormat="1">
      <c r="A76" s="328"/>
      <c r="C76" s="289"/>
      <c r="D76" s="286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18"/>
    </row>
    <row r="77" spans="1:18" s="23" customFormat="1">
      <c r="A77" s="328" t="s">
        <v>267</v>
      </c>
      <c r="B77" s="343" t="s">
        <v>297</v>
      </c>
      <c r="C77" s="288" t="s">
        <v>119</v>
      </c>
      <c r="D77" s="286">
        <f>398250/4</f>
        <v>99562.5</v>
      </c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18"/>
    </row>
    <row r="78" spans="1:18" s="23" customFormat="1">
      <c r="A78" s="350" t="s">
        <v>260</v>
      </c>
      <c r="B78" s="343"/>
      <c r="C78" s="288" t="s">
        <v>253</v>
      </c>
      <c r="D78" s="286">
        <v>40000</v>
      </c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18"/>
    </row>
    <row r="79" spans="1:18" s="23" customFormat="1">
      <c r="A79" s="328" t="s">
        <v>282</v>
      </c>
      <c r="B79" s="343"/>
      <c r="C79" s="288" t="s">
        <v>120</v>
      </c>
      <c r="D79" s="286">
        <f>95580/4</f>
        <v>23895</v>
      </c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18"/>
    </row>
    <row r="80" spans="1:18" s="23" customFormat="1">
      <c r="A80" s="328" t="s">
        <v>283</v>
      </c>
      <c r="B80" s="343"/>
      <c r="C80" s="288" t="s">
        <v>121</v>
      </c>
      <c r="D80" s="286">
        <f>22126/4</f>
        <v>5531.5</v>
      </c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18"/>
    </row>
    <row r="81" spans="1:18" s="23" customFormat="1">
      <c r="A81" s="328" t="s">
        <v>284</v>
      </c>
      <c r="B81" s="343"/>
      <c r="C81" s="288" t="s">
        <v>122</v>
      </c>
      <c r="D81" s="286">
        <f>47790/4</f>
        <v>11947.5</v>
      </c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18"/>
    </row>
    <row r="82" spans="1:18" s="23" customFormat="1">
      <c r="A82" s="344"/>
      <c r="B82" s="343"/>
      <c r="C82" s="288"/>
      <c r="D82" s="286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151"/>
      <c r="R82" s="118"/>
    </row>
    <row r="83" spans="1:18" s="23" customFormat="1">
      <c r="A83" s="328" t="s">
        <v>295</v>
      </c>
      <c r="B83" s="343" t="s">
        <v>298</v>
      </c>
      <c r="C83" s="288" t="s">
        <v>123</v>
      </c>
      <c r="D83" s="286">
        <f>909506/4</f>
        <v>227376.5</v>
      </c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51"/>
      <c r="R83" s="118"/>
    </row>
    <row r="84" spans="1:18" s="23" customFormat="1">
      <c r="A84" s="331" t="s">
        <v>290</v>
      </c>
      <c r="B84" s="343"/>
      <c r="C84" s="288" t="s">
        <v>124</v>
      </c>
      <c r="D84" s="286">
        <f>309750/4</f>
        <v>77437.5</v>
      </c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1"/>
      <c r="R84" s="118"/>
    </row>
    <row r="85" spans="1:18" s="23" customFormat="1">
      <c r="A85" s="330" t="s">
        <v>264</v>
      </c>
      <c r="B85" s="343"/>
      <c r="C85" s="288" t="s">
        <v>84</v>
      </c>
      <c r="D85" s="286">
        <f>226560/4</f>
        <v>56640</v>
      </c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118"/>
    </row>
    <row r="86" spans="1:18" s="23" customFormat="1">
      <c r="A86" s="345" t="s">
        <v>291</v>
      </c>
      <c r="B86" s="346"/>
      <c r="C86" s="347" t="s">
        <v>257</v>
      </c>
      <c r="D86" s="162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51"/>
      <c r="R86" s="118"/>
    </row>
    <row r="87" spans="1:18" s="23" customFormat="1">
      <c r="A87" s="330" t="s">
        <v>280</v>
      </c>
      <c r="B87" s="343"/>
      <c r="C87" s="288" t="s">
        <v>125</v>
      </c>
      <c r="D87" s="286">
        <f>32710/4</f>
        <v>8177.5</v>
      </c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18"/>
    </row>
    <row r="88" spans="1:18" s="23" customFormat="1">
      <c r="A88" s="330" t="s">
        <v>392</v>
      </c>
      <c r="B88" s="343"/>
      <c r="C88" s="288" t="s">
        <v>126</v>
      </c>
      <c r="D88" s="286">
        <f>42480/4</f>
        <v>10620</v>
      </c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51"/>
      <c r="R88" s="118"/>
    </row>
    <row r="89" spans="1:18" s="23" customFormat="1">
      <c r="B89" s="343"/>
      <c r="C89" s="288"/>
      <c r="D89" s="286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1"/>
      <c r="P89" s="151"/>
      <c r="Q89" s="151"/>
      <c r="R89" s="118"/>
    </row>
    <row r="90" spans="1:18" s="23" customFormat="1">
      <c r="A90" s="21"/>
      <c r="B90" s="343"/>
      <c r="C90" s="288"/>
      <c r="D90" s="286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1"/>
      <c r="Q90" s="151"/>
      <c r="R90" s="118"/>
    </row>
    <row r="91" spans="1:18" s="23" customFormat="1">
      <c r="A91" s="21"/>
      <c r="B91" s="353" t="s">
        <v>299</v>
      </c>
      <c r="C91" s="288" t="s">
        <v>127</v>
      </c>
      <c r="D91" s="286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18"/>
    </row>
    <row r="92" spans="1:18" s="23" customFormat="1">
      <c r="A92" s="333" t="s">
        <v>264</v>
      </c>
      <c r="B92" s="343" t="s">
        <v>317</v>
      </c>
      <c r="C92" s="288" t="s">
        <v>128</v>
      </c>
      <c r="D92" s="286">
        <f>1144836/4</f>
        <v>286209</v>
      </c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1"/>
      <c r="R92" s="118"/>
    </row>
    <row r="93" spans="1:18" s="23" customFormat="1">
      <c r="A93" s="348" t="s">
        <v>260</v>
      </c>
      <c r="B93" s="343" t="s">
        <v>318</v>
      </c>
      <c r="C93" s="347" t="s">
        <v>129</v>
      </c>
      <c r="D93" s="162">
        <v>0</v>
      </c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18"/>
    </row>
    <row r="94" spans="1:18" s="23" customFormat="1">
      <c r="A94" s="333" t="s">
        <v>280</v>
      </c>
      <c r="B94" s="343" t="s">
        <v>319</v>
      </c>
      <c r="C94" s="288" t="s">
        <v>130</v>
      </c>
      <c r="D94" s="286">
        <f>451616/4</f>
        <v>112904</v>
      </c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118"/>
    </row>
    <row r="95" spans="1:18" s="23" customFormat="1">
      <c r="A95" s="333" t="s">
        <v>288</v>
      </c>
      <c r="B95" s="343" t="s">
        <v>320</v>
      </c>
      <c r="C95" s="288" t="s">
        <v>131</v>
      </c>
      <c r="D95" s="286">
        <f>367983/4</f>
        <v>91995.75</v>
      </c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  <c r="R95" s="118"/>
    </row>
    <row r="96" spans="1:18" s="23" customFormat="1">
      <c r="A96" s="330" t="s">
        <v>389</v>
      </c>
      <c r="B96" s="343" t="s">
        <v>321</v>
      </c>
      <c r="C96" s="288" t="s">
        <v>132</v>
      </c>
      <c r="D96" s="286">
        <f>900665/4</f>
        <v>225166.25</v>
      </c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51"/>
      <c r="R96" s="118"/>
    </row>
    <row r="97" spans="1:18" s="23" customFormat="1">
      <c r="A97" s="330" t="s">
        <v>293</v>
      </c>
      <c r="B97" s="343" t="s">
        <v>322</v>
      </c>
      <c r="C97" s="288" t="s">
        <v>133</v>
      </c>
      <c r="D97" s="286">
        <f>1194750/4</f>
        <v>298687.5</v>
      </c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151"/>
      <c r="R97" s="118"/>
    </row>
    <row r="98" spans="1:18" s="23" customFormat="1">
      <c r="A98" s="330" t="s">
        <v>268</v>
      </c>
      <c r="B98" s="343" t="s">
        <v>323</v>
      </c>
      <c r="C98" s="288" t="s">
        <v>134</v>
      </c>
      <c r="D98" s="286">
        <f>796500/4</f>
        <v>199125</v>
      </c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51"/>
      <c r="R98" s="118"/>
    </row>
    <row r="99" spans="1:18" s="23" customFormat="1">
      <c r="A99" s="330" t="s">
        <v>391</v>
      </c>
      <c r="B99" s="343" t="s">
        <v>324</v>
      </c>
      <c r="C99" s="288" t="s">
        <v>135</v>
      </c>
      <c r="D99" s="286">
        <f>238950/4</f>
        <v>59737.5</v>
      </c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51"/>
      <c r="R99" s="118"/>
    </row>
    <row r="100" spans="1:18" s="23" customFormat="1">
      <c r="A100" s="330" t="s">
        <v>292</v>
      </c>
      <c r="B100" s="343" t="s">
        <v>325</v>
      </c>
      <c r="C100" s="288" t="s">
        <v>136</v>
      </c>
      <c r="D100" s="286">
        <f>238508/4</f>
        <v>59627</v>
      </c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  <c r="O100" s="151"/>
      <c r="P100" s="151"/>
      <c r="Q100" s="151"/>
      <c r="R100" s="118"/>
    </row>
    <row r="101" spans="1:18" s="23" customFormat="1">
      <c r="A101" s="330" t="s">
        <v>292</v>
      </c>
      <c r="B101" s="343" t="s">
        <v>326</v>
      </c>
      <c r="C101" s="288" t="s">
        <v>137</v>
      </c>
      <c r="D101" s="286">
        <f>245322/4</f>
        <v>61330.5</v>
      </c>
      <c r="E101" s="151"/>
      <c r="F101" s="151"/>
      <c r="G101" s="151"/>
      <c r="H101" s="151"/>
      <c r="I101" s="151"/>
      <c r="J101" s="151"/>
      <c r="K101" s="151"/>
      <c r="L101" s="151"/>
      <c r="M101" s="151"/>
      <c r="N101" s="151"/>
      <c r="O101" s="151"/>
      <c r="P101" s="151"/>
      <c r="Q101" s="151"/>
      <c r="R101" s="118"/>
    </row>
    <row r="102" spans="1:18" s="23" customFormat="1">
      <c r="A102" s="21"/>
      <c r="B102" s="341"/>
      <c r="C102" s="288" t="s">
        <v>86</v>
      </c>
      <c r="D102" s="274">
        <f>SUM(D72:D101)</f>
        <v>4016250.5</v>
      </c>
      <c r="E102" s="151"/>
      <c r="F102" s="151"/>
      <c r="G102" s="151"/>
      <c r="H102" s="151"/>
      <c r="I102" s="151"/>
      <c r="J102" s="151"/>
      <c r="K102" s="151"/>
      <c r="L102" s="151"/>
      <c r="M102" s="151"/>
      <c r="N102" s="151"/>
      <c r="O102" s="151"/>
      <c r="P102" s="151"/>
      <c r="Q102" s="151"/>
      <c r="R102" s="118"/>
    </row>
    <row r="103" spans="1:18">
      <c r="A103" s="38"/>
      <c r="B103" s="38"/>
      <c r="C103" s="198"/>
      <c r="D103" s="154"/>
      <c r="E103" s="151"/>
      <c r="F103" s="151"/>
      <c r="G103" s="151"/>
      <c r="H103" s="151"/>
      <c r="I103" s="151"/>
      <c r="J103" s="151"/>
      <c r="K103" s="151"/>
      <c r="L103" s="151"/>
      <c r="M103" s="151"/>
      <c r="N103" s="151"/>
      <c r="O103" s="151"/>
      <c r="P103" s="151"/>
      <c r="Q103" s="151"/>
      <c r="R103" s="18"/>
    </row>
    <row r="104" spans="1:18">
      <c r="A104" s="38"/>
      <c r="B104" s="343" t="s">
        <v>300</v>
      </c>
      <c r="C104" s="285" t="s">
        <v>219</v>
      </c>
      <c r="D104" s="274"/>
      <c r="E104" s="151"/>
      <c r="F104" s="151"/>
      <c r="G104" s="151"/>
      <c r="H104" s="151"/>
      <c r="I104" s="151"/>
      <c r="J104" s="151"/>
      <c r="K104" s="151"/>
      <c r="L104" s="151"/>
      <c r="M104" s="151"/>
      <c r="N104" s="151"/>
      <c r="O104" s="151"/>
      <c r="P104" s="151"/>
      <c r="Q104" s="151"/>
      <c r="R104" s="18"/>
    </row>
    <row r="105" spans="1:18">
      <c r="A105" s="328" t="s">
        <v>285</v>
      </c>
      <c r="B105" s="343"/>
      <c r="C105" s="290" t="s">
        <v>162</v>
      </c>
      <c r="D105" s="286">
        <f>200*Staff_and_Office_2013!B62+480000</f>
        <v>639193.24132244405</v>
      </c>
      <c r="E105" s="151"/>
      <c r="F105" s="151"/>
      <c r="G105" s="151"/>
      <c r="H105" s="151"/>
      <c r="I105" s="151"/>
      <c r="J105" s="151"/>
      <c r="K105" s="151"/>
      <c r="L105" s="151"/>
      <c r="M105" s="151"/>
      <c r="N105" s="151"/>
      <c r="O105" s="151"/>
      <c r="P105" s="151"/>
      <c r="Q105" s="151"/>
      <c r="R105" s="18"/>
    </row>
    <row r="106" spans="1:18">
      <c r="A106" s="328" t="s">
        <v>267</v>
      </c>
      <c r="B106" s="343"/>
      <c r="C106" s="288" t="s">
        <v>158</v>
      </c>
      <c r="D106" s="286">
        <v>150000</v>
      </c>
      <c r="E106" s="151"/>
      <c r="F106" s="151"/>
      <c r="G106" s="151"/>
      <c r="H106" s="151"/>
      <c r="I106" s="151"/>
      <c r="J106" s="151"/>
      <c r="K106" s="151"/>
      <c r="L106" s="151"/>
      <c r="M106" s="151"/>
      <c r="N106" s="151"/>
      <c r="O106" s="151"/>
      <c r="P106" s="151"/>
      <c r="Q106" s="151"/>
      <c r="R106" s="18"/>
    </row>
    <row r="107" spans="1:18">
      <c r="A107" s="328" t="s">
        <v>282</v>
      </c>
      <c r="B107" s="343"/>
      <c r="C107" s="288" t="s">
        <v>159</v>
      </c>
      <c r="D107" s="286">
        <v>25000</v>
      </c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  <c r="O107" s="151"/>
      <c r="P107" s="151"/>
      <c r="Q107" s="151"/>
      <c r="R107" s="18"/>
    </row>
    <row r="108" spans="1:18">
      <c r="A108" s="328" t="s">
        <v>295</v>
      </c>
      <c r="B108" s="343"/>
      <c r="C108" s="288" t="s">
        <v>123</v>
      </c>
      <c r="D108" s="286">
        <v>125000</v>
      </c>
      <c r="E108" s="151"/>
      <c r="F108" s="151"/>
      <c r="G108" s="151"/>
      <c r="H108" s="151"/>
      <c r="I108" s="151"/>
      <c r="J108" s="151"/>
      <c r="K108" s="151"/>
      <c r="L108" s="151"/>
      <c r="M108" s="151"/>
      <c r="N108" s="151"/>
      <c r="O108" s="151"/>
      <c r="P108" s="151"/>
      <c r="Q108" s="151"/>
      <c r="R108" s="18"/>
    </row>
    <row r="109" spans="1:18">
      <c r="A109" s="331" t="s">
        <v>290</v>
      </c>
      <c r="B109" s="343"/>
      <c r="C109" s="288" t="s">
        <v>124</v>
      </c>
      <c r="D109" s="286">
        <v>50000</v>
      </c>
      <c r="E109" s="151"/>
      <c r="F109" s="151"/>
      <c r="G109" s="151"/>
      <c r="H109" s="151"/>
      <c r="I109" s="151"/>
      <c r="J109" s="151"/>
      <c r="K109" s="151"/>
      <c r="L109" s="151"/>
      <c r="M109" s="151"/>
      <c r="N109" s="151"/>
      <c r="O109" s="151"/>
      <c r="P109" s="151"/>
      <c r="Q109" s="151"/>
      <c r="R109" s="18"/>
    </row>
    <row r="110" spans="1:18">
      <c r="A110" s="330" t="s">
        <v>264</v>
      </c>
      <c r="B110" s="343"/>
      <c r="C110" s="288" t="s">
        <v>84</v>
      </c>
      <c r="D110" s="286">
        <v>100000</v>
      </c>
      <c r="E110" s="151"/>
      <c r="F110" s="151"/>
      <c r="G110" s="151"/>
      <c r="H110" s="151"/>
      <c r="I110" s="151"/>
      <c r="J110" s="151"/>
      <c r="K110" s="151"/>
      <c r="L110" s="151"/>
      <c r="M110" s="151"/>
      <c r="N110" s="151"/>
      <c r="O110" s="151"/>
      <c r="P110" s="151"/>
      <c r="Q110" s="151"/>
      <c r="R110" s="18"/>
    </row>
    <row r="111" spans="1:18">
      <c r="A111" s="330" t="s">
        <v>280</v>
      </c>
      <c r="B111" s="343"/>
      <c r="C111" s="288" t="s">
        <v>125</v>
      </c>
      <c r="D111" s="286">
        <v>25000</v>
      </c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  <c r="O111" s="151"/>
      <c r="P111" s="151"/>
      <c r="Q111" s="151"/>
      <c r="R111" s="18"/>
    </row>
    <row r="112" spans="1:18">
      <c r="A112" s="330" t="s">
        <v>392</v>
      </c>
      <c r="B112" s="343"/>
      <c r="C112" s="288" t="s">
        <v>126</v>
      </c>
      <c r="D112" s="286">
        <v>25000</v>
      </c>
      <c r="E112" s="151"/>
      <c r="F112" s="151"/>
      <c r="G112" s="151"/>
      <c r="H112" s="151"/>
      <c r="I112" s="151"/>
      <c r="J112" s="151"/>
      <c r="K112" s="151"/>
      <c r="L112" s="151"/>
      <c r="M112" s="151"/>
      <c r="N112" s="151"/>
      <c r="O112" s="151"/>
      <c r="P112" s="151"/>
      <c r="Q112" s="151"/>
      <c r="R112" s="18"/>
    </row>
    <row r="113" spans="1:18">
      <c r="A113" s="38"/>
      <c r="B113" s="343"/>
      <c r="C113" s="291"/>
      <c r="D113" s="292"/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  <c r="O113" s="151"/>
      <c r="P113" s="151"/>
      <c r="Q113" s="151"/>
      <c r="R113" s="18"/>
    </row>
    <row r="114" spans="1:18">
      <c r="A114" s="332"/>
      <c r="B114" s="343" t="s">
        <v>301</v>
      </c>
      <c r="C114" s="291" t="s">
        <v>254</v>
      </c>
      <c r="D114" s="292">
        <v>800000</v>
      </c>
      <c r="E114" s="151"/>
      <c r="F114" s="151"/>
      <c r="G114" s="151"/>
      <c r="H114" s="151"/>
      <c r="I114" s="151"/>
      <c r="J114" s="151"/>
      <c r="K114" s="151"/>
      <c r="L114" s="151"/>
      <c r="M114" s="151"/>
      <c r="N114" s="151"/>
      <c r="O114" s="151"/>
      <c r="P114" s="151"/>
      <c r="Q114" s="151"/>
      <c r="R114" s="18"/>
    </row>
    <row r="115" spans="1:18">
      <c r="A115" s="332"/>
      <c r="B115" s="343" t="s">
        <v>302</v>
      </c>
      <c r="C115" s="291" t="s">
        <v>255</v>
      </c>
      <c r="D115" s="292">
        <v>800000</v>
      </c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  <c r="O115" s="151"/>
      <c r="P115" s="151"/>
      <c r="Q115" s="151"/>
      <c r="R115" s="18"/>
    </row>
    <row r="116" spans="1:18">
      <c r="A116" s="332"/>
      <c r="B116" s="343" t="s">
        <v>303</v>
      </c>
      <c r="C116" s="291" t="s">
        <v>256</v>
      </c>
      <c r="D116" s="292">
        <v>800000</v>
      </c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  <c r="O116" s="151"/>
      <c r="P116" s="151"/>
      <c r="Q116" s="151"/>
      <c r="R116" s="18"/>
    </row>
    <row r="117" spans="1:18">
      <c r="A117" s="38"/>
      <c r="B117" s="38"/>
      <c r="C117" s="293"/>
      <c r="D117" s="274"/>
      <c r="E117" s="151"/>
      <c r="F117" s="151"/>
      <c r="G117" s="151"/>
      <c r="H117" s="151"/>
      <c r="I117" s="151"/>
      <c r="J117" s="151"/>
      <c r="K117" s="151"/>
      <c r="L117" s="151"/>
      <c r="M117" s="151"/>
      <c r="N117" s="151"/>
      <c r="O117" s="151"/>
      <c r="P117" s="151"/>
      <c r="Q117" s="151"/>
      <c r="R117" s="18"/>
    </row>
    <row r="118" spans="1:18">
      <c r="A118" s="38"/>
      <c r="B118" s="38"/>
      <c r="C118" s="287" t="s">
        <v>86</v>
      </c>
      <c r="D118" s="274">
        <f>SUM(D104:D116)</f>
        <v>3539193.2413224438</v>
      </c>
      <c r="E118" s="151"/>
      <c r="F118" s="151"/>
      <c r="G118" s="151"/>
      <c r="H118" s="151"/>
      <c r="I118" s="151"/>
      <c r="J118" s="151"/>
      <c r="K118" s="151"/>
      <c r="L118" s="151"/>
      <c r="M118" s="151"/>
      <c r="N118" s="151"/>
      <c r="O118" s="151"/>
      <c r="P118" s="151"/>
      <c r="Q118" s="151"/>
      <c r="R118" s="18"/>
    </row>
    <row r="119" spans="1:18">
      <c r="A119" s="10"/>
      <c r="B119" s="10"/>
      <c r="C119" s="199"/>
      <c r="D119" s="222"/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  <c r="O119" s="151"/>
      <c r="P119" s="151"/>
      <c r="Q119" s="151"/>
      <c r="R119" s="18"/>
    </row>
    <row r="120" spans="1:18">
      <c r="A120" s="10"/>
      <c r="B120" s="342"/>
      <c r="C120" s="317" t="s">
        <v>251</v>
      </c>
      <c r="D120" s="318"/>
      <c r="E120" s="151"/>
      <c r="F120" s="151"/>
      <c r="G120" s="151"/>
      <c r="H120" s="151"/>
      <c r="I120" s="151"/>
      <c r="J120" s="151"/>
      <c r="K120" s="151"/>
      <c r="L120" s="151"/>
      <c r="M120" s="151"/>
      <c r="N120" s="151"/>
      <c r="O120" s="151"/>
      <c r="P120" s="151"/>
      <c r="Q120" s="151"/>
      <c r="R120" s="18"/>
    </row>
    <row r="121" spans="1:18">
      <c r="A121" s="10"/>
      <c r="B121" s="349" t="s">
        <v>304</v>
      </c>
      <c r="C121" s="319" t="s">
        <v>245</v>
      </c>
      <c r="D121" s="318"/>
      <c r="E121" s="151"/>
      <c r="F121" s="151"/>
      <c r="G121" s="151"/>
      <c r="H121" s="151"/>
      <c r="I121" s="151"/>
      <c r="J121" s="151"/>
      <c r="K121" s="151"/>
      <c r="L121" s="151"/>
      <c r="M121" s="151"/>
      <c r="N121" s="151"/>
      <c r="O121" s="151"/>
      <c r="P121" s="151"/>
      <c r="Q121" s="151"/>
      <c r="R121" s="18"/>
    </row>
    <row r="122" spans="1:18">
      <c r="A122" s="10"/>
      <c r="B122" s="349"/>
      <c r="C122" s="320"/>
      <c r="D122" s="318"/>
      <c r="E122" s="151"/>
      <c r="F122" s="151"/>
      <c r="G122" s="151"/>
      <c r="H122" s="151"/>
      <c r="I122" s="151"/>
      <c r="J122" s="151"/>
      <c r="K122" s="151"/>
      <c r="L122" s="151"/>
      <c r="M122" s="151"/>
      <c r="N122" s="151"/>
      <c r="O122" s="151"/>
      <c r="P122" s="151"/>
      <c r="Q122" s="151"/>
      <c r="R122" s="18"/>
    </row>
    <row r="123" spans="1:18">
      <c r="A123" s="328" t="s">
        <v>287</v>
      </c>
      <c r="B123" s="349" t="s">
        <v>304</v>
      </c>
      <c r="C123" s="321" t="s">
        <v>115</v>
      </c>
      <c r="D123" s="318">
        <v>67200</v>
      </c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  <c r="O123" s="151"/>
      <c r="P123" s="151"/>
      <c r="Q123" s="151"/>
      <c r="R123" s="18"/>
    </row>
    <row r="124" spans="1:18">
      <c r="A124" s="329" t="s">
        <v>294</v>
      </c>
      <c r="B124" s="349"/>
      <c r="C124" s="321" t="s">
        <v>116</v>
      </c>
      <c r="D124" s="318">
        <v>25600</v>
      </c>
      <c r="E124" s="151"/>
      <c r="F124" s="151"/>
      <c r="G124" s="151"/>
      <c r="H124" s="151"/>
      <c r="I124" s="151"/>
      <c r="J124" s="151"/>
      <c r="K124" s="151"/>
      <c r="L124" s="151"/>
      <c r="M124" s="151"/>
      <c r="N124" s="151"/>
      <c r="O124" s="151"/>
      <c r="P124" s="151"/>
      <c r="Q124" s="151"/>
      <c r="R124" s="18"/>
    </row>
    <row r="125" spans="1:18">
      <c r="A125" s="328" t="s">
        <v>288</v>
      </c>
      <c r="B125" s="349"/>
      <c r="C125" s="321" t="s">
        <v>117</v>
      </c>
      <c r="D125" s="318">
        <v>28800</v>
      </c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151"/>
      <c r="Q125" s="151"/>
      <c r="R125" s="18"/>
    </row>
    <row r="126" spans="1:18">
      <c r="A126" s="328" t="s">
        <v>295</v>
      </c>
      <c r="B126" s="349"/>
      <c r="C126" s="321" t="s">
        <v>118</v>
      </c>
      <c r="D126" s="318">
        <v>32000</v>
      </c>
      <c r="E126" s="151"/>
      <c r="F126" s="151"/>
      <c r="G126" s="151"/>
      <c r="H126" s="151"/>
      <c r="I126" s="151"/>
      <c r="J126" s="151"/>
      <c r="K126" s="151"/>
      <c r="L126" s="151"/>
      <c r="M126" s="151"/>
      <c r="N126" s="151"/>
      <c r="O126" s="151"/>
      <c r="P126" s="151"/>
      <c r="Q126" s="151"/>
      <c r="R126" s="18"/>
    </row>
    <row r="127" spans="1:18">
      <c r="A127" s="333" t="s">
        <v>264</v>
      </c>
      <c r="B127" s="349"/>
      <c r="C127" s="321" t="s">
        <v>246</v>
      </c>
      <c r="D127" s="318">
        <v>256000</v>
      </c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8"/>
    </row>
    <row r="128" spans="1:18">
      <c r="A128" s="10"/>
      <c r="B128" s="10"/>
      <c r="C128" s="321"/>
      <c r="D128" s="318"/>
      <c r="E128" s="151"/>
      <c r="F128" s="151"/>
      <c r="G128" s="151"/>
      <c r="H128" s="151"/>
      <c r="I128" s="151"/>
      <c r="J128" s="151"/>
      <c r="K128" s="151"/>
      <c r="L128" s="151"/>
      <c r="M128" s="151"/>
      <c r="N128" s="151"/>
      <c r="O128" s="151"/>
      <c r="P128" s="151"/>
      <c r="Q128" s="151"/>
      <c r="R128" s="18"/>
    </row>
    <row r="129" spans="1:18">
      <c r="A129" s="328" t="s">
        <v>285</v>
      </c>
      <c r="B129" s="349" t="s">
        <v>305</v>
      </c>
      <c r="C129" s="321" t="s">
        <v>162</v>
      </c>
      <c r="D129" s="318">
        <f>(138*Staff_and_Office_2013!B62)*2</f>
        <v>219686.67302497278</v>
      </c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8"/>
    </row>
    <row r="130" spans="1:18">
      <c r="A130" s="328" t="s">
        <v>295</v>
      </c>
      <c r="B130" s="349"/>
      <c r="C130" s="322" t="s">
        <v>123</v>
      </c>
      <c r="D130" s="318">
        <v>20000</v>
      </c>
      <c r="E130" s="151"/>
      <c r="F130" s="151"/>
      <c r="G130" s="151"/>
      <c r="H130" s="151"/>
      <c r="I130" s="151"/>
      <c r="J130" s="151"/>
      <c r="K130" s="151"/>
      <c r="L130" s="151"/>
      <c r="M130" s="151"/>
      <c r="N130" s="151"/>
      <c r="O130" s="151"/>
      <c r="P130" s="151"/>
      <c r="Q130" s="151"/>
      <c r="R130" s="18"/>
    </row>
    <row r="131" spans="1:18">
      <c r="A131" s="331" t="s">
        <v>290</v>
      </c>
      <c r="B131" s="349"/>
      <c r="C131" s="322" t="s">
        <v>124</v>
      </c>
      <c r="D131" s="318">
        <v>40000</v>
      </c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8"/>
    </row>
    <row r="132" spans="1:18">
      <c r="A132" s="333" t="s">
        <v>264</v>
      </c>
      <c r="B132" s="349"/>
      <c r="C132" s="322" t="s">
        <v>247</v>
      </c>
      <c r="D132" s="318">
        <v>96000</v>
      </c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8"/>
    </row>
    <row r="133" spans="1:18">
      <c r="A133" s="333" t="s">
        <v>288</v>
      </c>
      <c r="B133" s="349"/>
      <c r="C133" s="322" t="s">
        <v>248</v>
      </c>
      <c r="D133" s="318">
        <v>28800</v>
      </c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8"/>
    </row>
    <row r="134" spans="1:18">
      <c r="A134" s="333" t="s">
        <v>280</v>
      </c>
      <c r="B134" s="349"/>
      <c r="C134" s="322" t="s">
        <v>249</v>
      </c>
      <c r="D134" s="318">
        <v>38400</v>
      </c>
      <c r="E134" s="151"/>
      <c r="F134" s="151"/>
      <c r="G134" s="151"/>
      <c r="H134" s="151"/>
      <c r="I134" s="151"/>
      <c r="J134" s="151"/>
      <c r="K134" s="151"/>
      <c r="L134" s="151"/>
      <c r="M134" s="151"/>
      <c r="N134" s="151"/>
      <c r="O134" s="151"/>
      <c r="P134" s="151"/>
      <c r="Q134" s="151"/>
      <c r="R134" s="18"/>
    </row>
    <row r="135" spans="1:18">
      <c r="A135" s="330" t="s">
        <v>306</v>
      </c>
      <c r="B135" s="349"/>
      <c r="C135" s="321" t="s">
        <v>126</v>
      </c>
      <c r="D135" s="318">
        <v>10000</v>
      </c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18"/>
    </row>
    <row r="136" spans="1:18">
      <c r="A136" s="10"/>
      <c r="B136" s="10"/>
      <c r="C136" s="322"/>
      <c r="D136" s="318"/>
      <c r="E136" s="151"/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8"/>
    </row>
    <row r="137" spans="1:18">
      <c r="A137" s="10"/>
      <c r="B137" s="10"/>
      <c r="C137" s="321"/>
      <c r="D137" s="318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8"/>
    </row>
    <row r="138" spans="1:18">
      <c r="A138" s="10"/>
      <c r="B138" s="10"/>
      <c r="C138" s="323" t="s">
        <v>250</v>
      </c>
      <c r="D138" s="318">
        <f>SUM(D123:D135)</f>
        <v>862486.67302497278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18"/>
    </row>
    <row r="139" spans="1:18">
      <c r="A139" s="10"/>
      <c r="B139" s="10"/>
      <c r="C139" s="199"/>
      <c r="D139" s="222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18"/>
    </row>
    <row r="140" spans="1:18">
      <c r="A140" s="24" t="s">
        <v>75</v>
      </c>
      <c r="B140" s="24"/>
      <c r="C140" s="204"/>
      <c r="D140" s="149">
        <f>D38+D69+D102+D118+D138</f>
        <v>16735431.655669859</v>
      </c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18"/>
    </row>
    <row r="141" spans="1:18">
      <c r="A141" s="21"/>
      <c r="B141" s="21"/>
      <c r="C141" s="208"/>
      <c r="D141" s="157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18"/>
    </row>
    <row r="142" spans="1:18">
      <c r="A142" s="10" t="s">
        <v>15</v>
      </c>
      <c r="B142" s="10"/>
      <c r="C142" s="17"/>
      <c r="D142" s="154">
        <f>SUM(D28-D140)</f>
        <v>-39999.655669858679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18"/>
    </row>
    <row r="143" spans="1:18">
      <c r="A143" s="355"/>
      <c r="B143" s="21"/>
      <c r="C143" s="208"/>
      <c r="D143" s="157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18"/>
    </row>
    <row r="144" spans="1:18">
      <c r="A144" s="356"/>
    </row>
    <row r="145" spans="1:3">
      <c r="A145" s="344"/>
      <c r="B145" s="343" t="s">
        <v>289</v>
      </c>
      <c r="C145" s="357" t="s">
        <v>178</v>
      </c>
    </row>
    <row r="146" spans="1:3">
      <c r="A146" s="356"/>
      <c r="B146" s="343" t="s">
        <v>276</v>
      </c>
      <c r="C146" s="357" t="s">
        <v>164</v>
      </c>
    </row>
    <row r="147" spans="1:3">
      <c r="B147" s="343" t="s">
        <v>277</v>
      </c>
      <c r="C147" s="216" t="s">
        <v>119</v>
      </c>
    </row>
    <row r="148" spans="1:3">
      <c r="B148" s="343" t="s">
        <v>278</v>
      </c>
      <c r="C148" s="216" t="s">
        <v>258</v>
      </c>
    </row>
    <row r="149" spans="1:3">
      <c r="B149" s="343" t="s">
        <v>279</v>
      </c>
      <c r="C149" s="216" t="s">
        <v>127</v>
      </c>
    </row>
    <row r="150" spans="1:3">
      <c r="B150" s="343" t="s">
        <v>296</v>
      </c>
      <c r="C150" s="358" t="s">
        <v>181</v>
      </c>
    </row>
    <row r="151" spans="1:3">
      <c r="B151" s="343" t="s">
        <v>297</v>
      </c>
      <c r="C151" s="288" t="s">
        <v>119</v>
      </c>
    </row>
    <row r="152" spans="1:3">
      <c r="B152" s="343" t="s">
        <v>298</v>
      </c>
      <c r="C152" s="288" t="s">
        <v>123</v>
      </c>
    </row>
    <row r="153" spans="1:3">
      <c r="B153" s="353" t="s">
        <v>299</v>
      </c>
      <c r="C153" s="288" t="s">
        <v>127</v>
      </c>
    </row>
    <row r="154" spans="1:3">
      <c r="B154" s="343" t="s">
        <v>300</v>
      </c>
      <c r="C154" s="359" t="s">
        <v>219</v>
      </c>
    </row>
    <row r="155" spans="1:3">
      <c r="B155" s="343" t="s">
        <v>301</v>
      </c>
      <c r="C155" s="291" t="s">
        <v>254</v>
      </c>
    </row>
    <row r="156" spans="1:3">
      <c r="B156" s="343" t="s">
        <v>302</v>
      </c>
      <c r="C156" s="291" t="s">
        <v>255</v>
      </c>
    </row>
    <row r="157" spans="1:3">
      <c r="B157" s="343" t="s">
        <v>303</v>
      </c>
      <c r="C157" s="291" t="s">
        <v>256</v>
      </c>
    </row>
    <row r="158" spans="1:3" ht="16">
      <c r="B158" s="343" t="s">
        <v>304</v>
      </c>
      <c r="C158" s="354" t="s">
        <v>245</v>
      </c>
    </row>
    <row r="159" spans="1:3">
      <c r="B159" s="343" t="s">
        <v>305</v>
      </c>
      <c r="C159" s="321" t="s">
        <v>162</v>
      </c>
    </row>
  </sheetData>
  <mergeCells count="1">
    <mergeCell ref="A1:C1"/>
  </mergeCells>
  <phoneticPr fontId="46" type="noConversion"/>
  <pageMargins left="0.75" right="0.75" top="1" bottom="1" header="0.5" footer="0.5"/>
  <pageSetup paperSize="9" scale="74" fitToHeight="2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15" workbookViewId="0">
      <selection activeCell="E5" sqref="E5"/>
    </sheetView>
  </sheetViews>
  <sheetFormatPr baseColWidth="10" defaultRowHeight="15" x14ac:dyDescent="0"/>
  <cols>
    <col min="1" max="1" width="37.33203125" customWidth="1"/>
    <col min="4" max="4" width="36.83203125" customWidth="1"/>
  </cols>
  <sheetData>
    <row r="1" spans="1:6" ht="37">
      <c r="A1" s="362" t="s">
        <v>329</v>
      </c>
      <c r="B1" s="363">
        <v>4</v>
      </c>
      <c r="C1" s="5"/>
      <c r="D1" s="5"/>
      <c r="E1" s="5"/>
      <c r="F1" s="364"/>
    </row>
    <row r="2" spans="1:6" ht="20">
      <c r="A2" s="21"/>
      <c r="B2" s="365" t="s">
        <v>330</v>
      </c>
      <c r="C2" s="365" t="s">
        <v>331</v>
      </c>
      <c r="D2" s="5"/>
      <c r="E2" s="5"/>
      <c r="F2" s="364"/>
    </row>
    <row r="3" spans="1:6">
      <c r="A3" s="58" t="s">
        <v>165</v>
      </c>
      <c r="B3" s="366">
        <v>4</v>
      </c>
      <c r="C3" s="367">
        <v>4001</v>
      </c>
      <c r="D3" s="196"/>
      <c r="E3" s="368"/>
      <c r="F3" s="369" t="s">
        <v>153</v>
      </c>
    </row>
    <row r="4" spans="1:6">
      <c r="A4" s="183"/>
      <c r="B4" s="183"/>
      <c r="C4" s="370"/>
      <c r="D4" s="208"/>
      <c r="E4" s="371"/>
      <c r="F4" s="364"/>
    </row>
    <row r="5" spans="1:6">
      <c r="A5" s="328" t="s">
        <v>265</v>
      </c>
      <c r="B5" s="328"/>
      <c r="C5" s="343" t="s">
        <v>332</v>
      </c>
      <c r="D5" s="198" t="s">
        <v>162</v>
      </c>
      <c r="E5" s="14">
        <v>795966</v>
      </c>
      <c r="F5" s="372">
        <f>E5/E78</f>
        <v>0.22222216018100155</v>
      </c>
    </row>
    <row r="6" spans="1:6">
      <c r="A6" s="328" t="s">
        <v>357</v>
      </c>
      <c r="B6" s="340"/>
      <c r="C6" s="343"/>
      <c r="D6" s="373" t="s">
        <v>85</v>
      </c>
      <c r="E6" s="374">
        <v>50000</v>
      </c>
      <c r="F6" s="364"/>
    </row>
    <row r="7" spans="1:6">
      <c r="A7" s="328" t="s">
        <v>358</v>
      </c>
      <c r="B7" s="340"/>
      <c r="C7" s="343"/>
      <c r="D7" s="373" t="s">
        <v>124</v>
      </c>
      <c r="E7" s="374">
        <v>50000</v>
      </c>
      <c r="F7" s="364"/>
    </row>
    <row r="8" spans="1:6">
      <c r="A8" s="328" t="s">
        <v>359</v>
      </c>
      <c r="B8" s="340"/>
      <c r="C8" s="343"/>
      <c r="D8" s="373" t="s">
        <v>84</v>
      </c>
      <c r="E8" s="374">
        <v>100000</v>
      </c>
      <c r="F8" s="364"/>
    </row>
    <row r="9" spans="1:6">
      <c r="A9" s="328"/>
      <c r="B9" s="340"/>
      <c r="C9" s="375"/>
      <c r="D9" s="238"/>
      <c r="E9" s="374"/>
      <c r="F9" s="364"/>
    </row>
    <row r="10" spans="1:6">
      <c r="A10" s="328"/>
      <c r="B10" s="340"/>
      <c r="C10" s="375" t="s">
        <v>333</v>
      </c>
      <c r="D10" s="237" t="s">
        <v>12</v>
      </c>
      <c r="E10" s="374"/>
      <c r="F10" s="364"/>
    </row>
    <row r="11" spans="1:6">
      <c r="A11" s="328" t="s">
        <v>359</v>
      </c>
      <c r="B11" s="328"/>
      <c r="C11" s="343"/>
      <c r="D11" s="239" t="s">
        <v>84</v>
      </c>
      <c r="E11" s="14">
        <v>80000</v>
      </c>
      <c r="F11" s="364"/>
    </row>
    <row r="12" spans="1:6">
      <c r="A12" s="328" t="s">
        <v>357</v>
      </c>
      <c r="B12" s="328"/>
      <c r="C12" s="343"/>
      <c r="D12" s="239" t="s">
        <v>148</v>
      </c>
      <c r="E12" s="14">
        <v>200000</v>
      </c>
      <c r="F12" s="364"/>
    </row>
    <row r="13" spans="1:6">
      <c r="A13" s="328" t="s">
        <v>358</v>
      </c>
      <c r="B13" s="328"/>
      <c r="C13" s="343"/>
      <c r="D13" s="239" t="s">
        <v>124</v>
      </c>
      <c r="E13" s="14">
        <v>100000</v>
      </c>
      <c r="F13" s="364"/>
    </row>
    <row r="14" spans="1:6">
      <c r="A14" s="328"/>
      <c r="B14" s="328"/>
      <c r="C14" s="343"/>
      <c r="D14" s="239" t="s">
        <v>86</v>
      </c>
      <c r="E14" s="376">
        <f>SUM(E11:E13)</f>
        <v>380000</v>
      </c>
      <c r="F14" s="364"/>
    </row>
    <row r="15" spans="1:6">
      <c r="A15" s="328"/>
      <c r="B15" s="328"/>
      <c r="C15" s="343"/>
      <c r="D15" s="239"/>
      <c r="E15" s="376"/>
      <c r="F15" s="364"/>
    </row>
    <row r="16" spans="1:6">
      <c r="A16" s="38"/>
      <c r="B16" s="38"/>
      <c r="C16" s="377"/>
      <c r="D16" s="239"/>
      <c r="E16" s="376"/>
      <c r="F16" s="364"/>
    </row>
    <row r="17" spans="1:6">
      <c r="A17" s="24" t="s">
        <v>353</v>
      </c>
      <c r="B17" s="24"/>
      <c r="C17" s="24"/>
      <c r="D17" s="204"/>
      <c r="E17" s="26">
        <f>SUM(E5+E6+E7+E8+E14)</f>
        <v>1375966</v>
      </c>
      <c r="F17" s="364"/>
    </row>
    <row r="18" spans="1:6">
      <c r="E18" s="378"/>
      <c r="F18" s="364"/>
    </row>
    <row r="19" spans="1:6">
      <c r="A19" s="39" t="s">
        <v>238</v>
      </c>
      <c r="B19" s="379">
        <v>4</v>
      </c>
      <c r="C19" s="39">
        <v>4002</v>
      </c>
      <c r="D19" s="31"/>
      <c r="E19" s="27"/>
      <c r="F19" s="364"/>
    </row>
    <row r="20" spans="1:6">
      <c r="A20" s="38"/>
      <c r="B20" s="38"/>
      <c r="C20" s="38"/>
      <c r="D20" s="16"/>
      <c r="E20" s="241"/>
      <c r="F20" s="364"/>
    </row>
    <row r="21" spans="1:6">
      <c r="A21" s="328" t="s">
        <v>265</v>
      </c>
      <c r="B21" s="328"/>
      <c r="C21" s="343" t="s">
        <v>334</v>
      </c>
      <c r="D21" s="13" t="s">
        <v>162</v>
      </c>
      <c r="E21" s="374">
        <v>795966</v>
      </c>
      <c r="F21" s="372">
        <f>E21/E78</f>
        <v>0.22222216018100155</v>
      </c>
    </row>
    <row r="22" spans="1:6">
      <c r="A22" s="328"/>
      <c r="B22" s="340"/>
      <c r="C22" s="343"/>
      <c r="D22" s="380"/>
      <c r="E22" s="374"/>
      <c r="F22" s="364"/>
    </row>
    <row r="23" spans="1:6">
      <c r="A23" s="328" t="s">
        <v>262</v>
      </c>
      <c r="B23" s="340"/>
      <c r="C23" s="343"/>
      <c r="D23" s="380" t="s">
        <v>82</v>
      </c>
      <c r="E23" s="374">
        <v>300000</v>
      </c>
      <c r="F23" s="364"/>
    </row>
    <row r="24" spans="1:6">
      <c r="A24" s="328"/>
      <c r="B24" s="340"/>
      <c r="C24" s="343"/>
      <c r="D24" s="60"/>
      <c r="E24" s="374"/>
      <c r="F24" s="364"/>
    </row>
    <row r="25" spans="1:6">
      <c r="A25" s="328" t="s">
        <v>270</v>
      </c>
      <c r="B25" s="340"/>
      <c r="C25" s="343"/>
      <c r="D25" s="380" t="s">
        <v>83</v>
      </c>
      <c r="E25" s="374">
        <v>30000</v>
      </c>
      <c r="F25" s="364"/>
    </row>
    <row r="26" spans="1:6">
      <c r="A26" s="328"/>
      <c r="B26" s="340"/>
      <c r="C26" s="343"/>
      <c r="D26" s="193"/>
      <c r="E26" s="254"/>
      <c r="F26" s="364"/>
    </row>
    <row r="27" spans="1:6">
      <c r="A27" s="328"/>
      <c r="B27" s="340"/>
      <c r="C27" s="343"/>
      <c r="D27" s="380" t="s">
        <v>84</v>
      </c>
      <c r="E27" s="14">
        <v>150000</v>
      </c>
      <c r="F27" s="364"/>
    </row>
    <row r="28" spans="1:6">
      <c r="A28" s="38"/>
      <c r="B28" s="381"/>
      <c r="C28" s="381"/>
      <c r="D28" s="185"/>
      <c r="E28" s="14"/>
      <c r="F28" s="364"/>
    </row>
    <row r="29" spans="1:6">
      <c r="A29" s="24" t="s">
        <v>354</v>
      </c>
      <c r="B29" s="24"/>
      <c r="C29" s="24"/>
      <c r="D29" s="25"/>
      <c r="E29" s="26">
        <f>SUM(E20:E27)</f>
        <v>1275966</v>
      </c>
      <c r="F29" s="364"/>
    </row>
    <row r="30" spans="1:6">
      <c r="E30" s="378"/>
      <c r="F30" s="364"/>
    </row>
    <row r="31" spans="1:6">
      <c r="A31" s="58" t="s">
        <v>240</v>
      </c>
      <c r="B31" s="379">
        <v>4</v>
      </c>
      <c r="C31" s="58">
        <v>4003</v>
      </c>
      <c r="D31" s="20"/>
      <c r="E31" s="27"/>
      <c r="F31" s="364"/>
    </row>
    <row r="32" spans="1:6">
      <c r="A32" s="183"/>
      <c r="B32" s="183"/>
      <c r="C32" s="183"/>
      <c r="D32" s="22"/>
      <c r="E32" s="382"/>
      <c r="F32" s="364"/>
    </row>
    <row r="33" spans="1:6">
      <c r="A33" s="328" t="s">
        <v>265</v>
      </c>
      <c r="B33" s="328"/>
      <c r="C33" s="343" t="s">
        <v>335</v>
      </c>
      <c r="D33" s="13" t="s">
        <v>162</v>
      </c>
      <c r="E33" s="241">
        <v>477580</v>
      </c>
      <c r="F33" s="372">
        <f>E33/E78</f>
        <v>0.13333340778279815</v>
      </c>
    </row>
    <row r="34" spans="1:6">
      <c r="A34" s="328"/>
      <c r="B34" s="340"/>
      <c r="C34" s="343"/>
      <c r="D34" s="60"/>
      <c r="E34" s="374"/>
      <c r="F34" s="364"/>
    </row>
    <row r="35" spans="1:6">
      <c r="A35" s="328" t="s">
        <v>270</v>
      </c>
      <c r="B35" s="340"/>
      <c r="C35" s="343"/>
      <c r="D35" s="380" t="s">
        <v>124</v>
      </c>
      <c r="E35" s="374">
        <v>100000</v>
      </c>
      <c r="F35" s="364"/>
    </row>
    <row r="36" spans="1:6">
      <c r="A36" s="328"/>
      <c r="B36" s="340"/>
      <c r="C36" s="343"/>
      <c r="D36" s="380"/>
      <c r="E36" s="374"/>
      <c r="F36" s="364"/>
    </row>
    <row r="37" spans="1:6">
      <c r="A37" s="328" t="s">
        <v>271</v>
      </c>
      <c r="B37" s="340"/>
      <c r="C37" s="343"/>
      <c r="D37" s="380" t="s">
        <v>84</v>
      </c>
      <c r="E37" s="374">
        <v>50000</v>
      </c>
      <c r="F37" s="364"/>
    </row>
    <row r="38" spans="1:6">
      <c r="A38" s="38"/>
      <c r="B38" s="381"/>
      <c r="C38" s="343"/>
      <c r="D38" s="60"/>
      <c r="E38" s="374"/>
      <c r="F38" s="364"/>
    </row>
    <row r="39" spans="1:6">
      <c r="A39" s="328" t="s">
        <v>269</v>
      </c>
      <c r="B39" s="381"/>
      <c r="C39" s="343"/>
      <c r="D39" s="380" t="s">
        <v>85</v>
      </c>
      <c r="E39" s="374"/>
      <c r="F39" s="364"/>
    </row>
    <row r="40" spans="1:6">
      <c r="A40" s="38"/>
      <c r="B40" s="38"/>
      <c r="C40" s="343"/>
      <c r="D40" s="16"/>
      <c r="E40" s="241"/>
      <c r="F40" s="364"/>
    </row>
    <row r="41" spans="1:6">
      <c r="A41" s="38"/>
      <c r="B41" s="38"/>
      <c r="C41" s="343"/>
      <c r="D41" s="16"/>
      <c r="E41" s="14"/>
      <c r="F41" s="364"/>
    </row>
    <row r="42" spans="1:6">
      <c r="A42" s="38"/>
      <c r="B42" s="38"/>
      <c r="C42" s="38"/>
      <c r="D42" s="5"/>
      <c r="E42" s="5"/>
      <c r="F42" s="364"/>
    </row>
    <row r="43" spans="1:6">
      <c r="A43" s="24" t="s">
        <v>355</v>
      </c>
      <c r="B43" s="24"/>
      <c r="C43" s="24"/>
      <c r="D43" s="28"/>
      <c r="E43" s="26">
        <f>SUM(E33:E42)</f>
        <v>627580</v>
      </c>
      <c r="F43" s="364"/>
    </row>
    <row r="44" spans="1:6">
      <c r="E44" s="378"/>
      <c r="F44" s="364"/>
    </row>
    <row r="45" spans="1:6">
      <c r="A45" s="59" t="s">
        <v>242</v>
      </c>
      <c r="B45" s="383">
        <v>4</v>
      </c>
      <c r="C45" s="384">
        <v>4004</v>
      </c>
      <c r="D45" s="306"/>
      <c r="E45" s="385"/>
      <c r="F45" s="364"/>
    </row>
    <row r="46" spans="1:6">
      <c r="A46" s="187"/>
      <c r="B46" s="386"/>
      <c r="C46" s="386"/>
      <c r="D46" s="307"/>
      <c r="E46" s="325"/>
      <c r="F46" s="364"/>
    </row>
    <row r="47" spans="1:6">
      <c r="A47" s="328" t="s">
        <v>265</v>
      </c>
      <c r="B47" s="340"/>
      <c r="C47" s="343" t="s">
        <v>336</v>
      </c>
      <c r="D47" s="198" t="s">
        <v>162</v>
      </c>
      <c r="E47" s="241">
        <v>1512336</v>
      </c>
      <c r="F47" s="372">
        <f>E47/E78</f>
        <v>0.42222227185519878</v>
      </c>
    </row>
    <row r="48" spans="1:6">
      <c r="A48" s="340" t="s">
        <v>360</v>
      </c>
      <c r="B48" s="340"/>
      <c r="C48" s="343"/>
      <c r="D48" s="387" t="s">
        <v>337</v>
      </c>
      <c r="E48" s="374"/>
      <c r="F48" s="388"/>
    </row>
    <row r="49" spans="1:6">
      <c r="A49" s="389" t="s">
        <v>361</v>
      </c>
      <c r="B49" s="340"/>
      <c r="C49" s="343"/>
      <c r="D49" s="390" t="s">
        <v>338</v>
      </c>
      <c r="E49" s="374"/>
      <c r="F49" s="388"/>
    </row>
    <row r="50" spans="1:6">
      <c r="A50" s="340" t="s">
        <v>359</v>
      </c>
      <c r="B50" s="340"/>
      <c r="C50" s="343"/>
      <c r="D50" s="390" t="s">
        <v>84</v>
      </c>
      <c r="E50" s="374">
        <v>75000</v>
      </c>
      <c r="F50" s="388"/>
    </row>
    <row r="51" spans="1:6">
      <c r="A51" s="330" t="s">
        <v>280</v>
      </c>
      <c r="B51" s="340"/>
      <c r="C51" s="343"/>
      <c r="D51" s="373" t="s">
        <v>156</v>
      </c>
      <c r="E51" s="374"/>
      <c r="F51" s="364"/>
    </row>
    <row r="52" spans="1:6">
      <c r="A52" s="340" t="s">
        <v>357</v>
      </c>
      <c r="B52" s="340"/>
      <c r="C52" s="343"/>
      <c r="D52" s="391" t="s">
        <v>339</v>
      </c>
      <c r="E52" s="374"/>
      <c r="F52" s="388"/>
    </row>
    <row r="53" spans="1:6">
      <c r="A53" s="340" t="s">
        <v>362</v>
      </c>
      <c r="B53" s="340"/>
      <c r="C53" s="343"/>
      <c r="D53" s="391" t="s">
        <v>147</v>
      </c>
      <c r="E53" s="374"/>
      <c r="F53" s="388"/>
    </row>
    <row r="54" spans="1:6">
      <c r="A54" s="340" t="s">
        <v>363</v>
      </c>
      <c r="B54" s="340"/>
      <c r="C54" s="343"/>
      <c r="D54" s="390" t="s">
        <v>340</v>
      </c>
      <c r="E54" s="374"/>
      <c r="F54" s="388"/>
    </row>
    <row r="55" spans="1:6">
      <c r="A55" s="340" t="s">
        <v>364</v>
      </c>
      <c r="B55" s="340"/>
      <c r="C55" s="343"/>
      <c r="D55" s="308" t="s">
        <v>175</v>
      </c>
      <c r="E55" s="374">
        <v>40000</v>
      </c>
      <c r="F55" s="388"/>
    </row>
    <row r="56" spans="1:6">
      <c r="A56" s="340" t="s">
        <v>365</v>
      </c>
      <c r="B56" s="340"/>
      <c r="C56" s="343"/>
      <c r="D56" s="391" t="s">
        <v>341</v>
      </c>
      <c r="E56" s="374"/>
      <c r="F56" s="388"/>
    </row>
    <row r="57" spans="1:6">
      <c r="A57" s="340" t="s">
        <v>366</v>
      </c>
      <c r="B57" s="340"/>
      <c r="C57" s="343"/>
      <c r="D57" s="373" t="s">
        <v>342</v>
      </c>
      <c r="E57" s="374"/>
      <c r="F57" s="388"/>
    </row>
    <row r="58" spans="1:6">
      <c r="A58" s="340" t="s">
        <v>368</v>
      </c>
      <c r="B58" s="340"/>
      <c r="C58" s="343"/>
      <c r="D58" s="373" t="s">
        <v>343</v>
      </c>
      <c r="E58" s="374"/>
      <c r="F58" s="388"/>
    </row>
    <row r="59" spans="1:6">
      <c r="A59" s="340" t="s">
        <v>367</v>
      </c>
      <c r="B59" s="340"/>
      <c r="C59" s="343"/>
      <c r="D59" s="391" t="s">
        <v>344</v>
      </c>
      <c r="E59" s="374"/>
      <c r="F59" s="388"/>
    </row>
    <row r="60" spans="1:6">
      <c r="A60" s="340" t="s">
        <v>369</v>
      </c>
      <c r="B60" s="340"/>
      <c r="C60" s="343"/>
      <c r="D60" s="391" t="s">
        <v>345</v>
      </c>
      <c r="E60" s="374"/>
      <c r="F60" s="388"/>
    </row>
    <row r="61" spans="1:6">
      <c r="A61" s="340" t="s">
        <v>375</v>
      </c>
      <c r="B61" s="340"/>
      <c r="C61" s="343"/>
      <c r="D61" s="373" t="s">
        <v>82</v>
      </c>
      <c r="E61" s="374">
        <v>120000</v>
      </c>
      <c r="F61" s="364"/>
    </row>
    <row r="62" spans="1:6">
      <c r="A62" s="340" t="s">
        <v>370</v>
      </c>
      <c r="B62" s="340"/>
      <c r="C62" s="343"/>
      <c r="D62" s="391" t="s">
        <v>346</v>
      </c>
      <c r="E62" s="374"/>
      <c r="F62" s="388"/>
    </row>
    <row r="63" spans="1:6">
      <c r="A63" s="328" t="s">
        <v>371</v>
      </c>
      <c r="B63" s="340"/>
      <c r="C63" s="343"/>
      <c r="D63" s="391" t="s">
        <v>174</v>
      </c>
      <c r="E63" s="374">
        <v>80000</v>
      </c>
      <c r="F63" s="388"/>
    </row>
    <row r="64" spans="1:6">
      <c r="A64" s="340" t="s">
        <v>372</v>
      </c>
      <c r="B64" s="340"/>
      <c r="C64" s="343"/>
      <c r="D64" s="391" t="s">
        <v>347</v>
      </c>
      <c r="E64" s="374"/>
      <c r="F64" s="388"/>
    </row>
    <row r="65" spans="1:6">
      <c r="A65" s="340" t="s">
        <v>385</v>
      </c>
      <c r="B65" s="340"/>
      <c r="C65" s="340"/>
      <c r="D65" s="308" t="s">
        <v>257</v>
      </c>
      <c r="E65" s="392"/>
      <c r="F65" s="364"/>
    </row>
    <row r="66" spans="1:6">
      <c r="A66" s="340" t="s">
        <v>373</v>
      </c>
      <c r="B66" s="340"/>
      <c r="C66" s="343"/>
      <c r="D66" s="199" t="s">
        <v>348</v>
      </c>
      <c r="E66" s="14"/>
      <c r="F66" s="388"/>
    </row>
    <row r="67" spans="1:6">
      <c r="A67" s="340" t="s">
        <v>374</v>
      </c>
      <c r="B67" s="340"/>
      <c r="C67" s="343"/>
      <c r="D67" s="373" t="s">
        <v>349</v>
      </c>
      <c r="E67" s="374"/>
      <c r="F67" s="364"/>
    </row>
    <row r="68" spans="1:6">
      <c r="A68" s="340"/>
      <c r="B68" s="340"/>
      <c r="C68" s="340"/>
      <c r="D68" s="308" t="s">
        <v>86</v>
      </c>
      <c r="E68" s="374">
        <f>SUM(E47:E67)</f>
        <v>1827336</v>
      </c>
      <c r="F68" s="364"/>
    </row>
    <row r="69" spans="1:6">
      <c r="A69" s="340"/>
      <c r="B69" s="340"/>
      <c r="C69" s="340"/>
      <c r="D69" s="238"/>
      <c r="E69" s="374"/>
      <c r="F69" s="364"/>
    </row>
    <row r="70" spans="1:6">
      <c r="A70" s="340"/>
      <c r="B70" s="340"/>
      <c r="C70" s="343" t="s">
        <v>350</v>
      </c>
      <c r="D70" s="237" t="s">
        <v>92</v>
      </c>
      <c r="E70" s="374"/>
      <c r="F70" s="364"/>
    </row>
    <row r="71" spans="1:6">
      <c r="A71" s="330" t="s">
        <v>377</v>
      </c>
      <c r="B71" s="340"/>
      <c r="C71" s="393"/>
      <c r="D71" s="188" t="s">
        <v>83</v>
      </c>
      <c r="E71" s="374">
        <v>40000</v>
      </c>
      <c r="F71" s="364"/>
    </row>
    <row r="72" spans="1:6">
      <c r="A72" s="340" t="s">
        <v>359</v>
      </c>
      <c r="B72" s="340"/>
      <c r="C72" s="393"/>
      <c r="D72" s="189" t="s">
        <v>173</v>
      </c>
      <c r="E72" s="241">
        <v>160000</v>
      </c>
      <c r="F72" s="364"/>
    </row>
    <row r="73" spans="1:6">
      <c r="A73" s="340" t="s">
        <v>376</v>
      </c>
      <c r="B73" s="340"/>
      <c r="C73" s="393"/>
      <c r="D73" s="189" t="s">
        <v>172</v>
      </c>
      <c r="E73" s="394">
        <v>50000</v>
      </c>
      <c r="F73" s="364"/>
    </row>
    <row r="74" spans="1:6">
      <c r="A74" s="340"/>
      <c r="B74" s="395"/>
      <c r="C74" s="395"/>
      <c r="D74" s="191" t="s">
        <v>86</v>
      </c>
      <c r="E74" s="392">
        <f>SUM(E71:E73)</f>
        <v>250000</v>
      </c>
      <c r="F74" s="364"/>
    </row>
    <row r="75" spans="1:6">
      <c r="A75" s="54"/>
      <c r="B75" s="396"/>
      <c r="C75" s="396"/>
      <c r="D75" s="309"/>
      <c r="E75" s="374"/>
      <c r="F75" s="364"/>
    </row>
    <row r="76" spans="1:6">
      <c r="A76" s="55" t="s">
        <v>356</v>
      </c>
      <c r="B76" s="397"/>
      <c r="C76" s="397"/>
      <c r="D76" s="310"/>
      <c r="E76" s="26">
        <f>E68+E74</f>
        <v>2077336</v>
      </c>
      <c r="F76" s="364"/>
    </row>
    <row r="77" spans="1:6" ht="18">
      <c r="A77" s="398" t="s">
        <v>351</v>
      </c>
      <c r="B77" s="398"/>
      <c r="C77" s="398"/>
      <c r="D77" s="399"/>
      <c r="E77" s="400">
        <f>E17+E29+E43+E76</f>
        <v>5356848</v>
      </c>
      <c r="F77" s="401"/>
    </row>
    <row r="78" spans="1:6" ht="18">
      <c r="A78" s="398" t="s">
        <v>352</v>
      </c>
      <c r="B78" s="398"/>
      <c r="C78" s="398"/>
      <c r="D78" s="398"/>
      <c r="E78" s="400">
        <f>E5+E21+E33+E47</f>
        <v>3581848</v>
      </c>
      <c r="F78" s="402">
        <v>100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15</vt:i4>
      </vt:variant>
    </vt:vector>
  </HeadingPairs>
  <TitlesOfParts>
    <vt:vector size="15" baseType="lpstr">
      <vt:lpstr>Strategy_main_budget</vt:lpstr>
      <vt:lpstr>Operational_budget_2013</vt:lpstr>
      <vt:lpstr>Staff_and_Office_2013</vt:lpstr>
      <vt:lpstr>Staff 2013</vt:lpstr>
      <vt:lpstr>Use_of_Unrestricted</vt:lpstr>
      <vt:lpstr>Component_1</vt:lpstr>
      <vt:lpstr>Component_2</vt:lpstr>
      <vt:lpstr>Component_3</vt:lpstr>
      <vt:lpstr>Component_4_NY</vt:lpstr>
      <vt:lpstr>A_Membership</vt:lpstr>
      <vt:lpstr>B_Network</vt:lpstr>
      <vt:lpstr>C_Knowledge</vt:lpstr>
      <vt:lpstr>D_Organisation</vt:lpstr>
      <vt:lpstr>Administrative share 2013</vt:lpstr>
      <vt:lpstr>Staff 2013 (2)</vt:lpstr>
    </vt:vector>
  </TitlesOfParts>
  <Company>Blåkullen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Håkan Henning</dc:creator>
  <cp:lastModifiedBy>Harumi Kobayashi</cp:lastModifiedBy>
  <cp:lastPrinted>2012-12-12T17:56:34Z</cp:lastPrinted>
  <dcterms:created xsi:type="dcterms:W3CDTF">2011-10-24T09:16:53Z</dcterms:created>
  <dcterms:modified xsi:type="dcterms:W3CDTF">2013-02-04T15:46:27Z</dcterms:modified>
</cp:coreProperties>
</file>